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 &amp; Verdict" sheetId="1" state="visible" r:id="rId1"/>
    <sheet xmlns:r="http://schemas.openxmlformats.org/officeDocument/2006/relationships" name="Monthly Detail" sheetId="2" state="visible" r:id="rId2"/>
    <sheet xmlns:r="http://schemas.openxmlformats.org/officeDocument/2006/relationships" name="Annual Summary" sheetId="3" state="visible" r:id="rId3"/>
    <sheet xmlns:r="http://schemas.openxmlformats.org/officeDocument/2006/relationships" name="Methodology" sheetId="4" state="visible" r:id="rId4"/>
  </sheets>
  <definedNames>
    <definedName name="propPrice">'Inputs &amp; Verdict'!$B$5</definedName>
    <definedName name="downPayPct">'Inputs &amp; Verdict'!$B$6</definedName>
    <definedName name="loanRate">'Inputs &amp; Verdict'!$B$7</definedName>
    <definedName name="loanTenureY">'Inputs &amp; Verdict'!$B$8</definedName>
    <definedName name="propAppn">'Inputs &amp; Verdict'!$B$9</definedName>
    <definedName name="rentalYield">'Inputs &amp; Verdict'!$B$10</definedName>
    <definedName name="rentalStartY">'Inputs &amp; Verdict'!$B$11</definedName>
    <definedName name="stampPct">'Inputs &amp; Verdict'!$B$12</definedName>
    <definedName name="maintPct">'Inputs &amp; Verdict'!$B$13</definedName>
    <definedName name="vacancyPct">'Inputs &amp; Verdict'!$B$14</definedName>
    <definedName name="rentInflation">'Inputs &amp; Verdict'!$B$15</definedName>
    <definedName name="mfReturn">'Inputs &amp; Verdict'!$B$16</definedName>
    <definedName name="ltcgPct">'Inputs &amp; Verdict'!$B$17</definedName>
    <definedName name="horizonY">'Inputs &amp; Verdict'!$B$18</definedName>
    <definedName name="downPay">'Inputs &amp; Verdict'!$F$5</definedName>
    <definedName name="stampPaid">'Inputs &amp; Verdict'!$F$6</definedName>
    <definedName name="loanAmount">'Inputs &amp; Verdict'!$F$7</definedName>
    <definedName name="rMonthly">'Inputs &amp; Verdict'!$F$8</definedName>
    <definedName name="loanMonths">'Inputs &amp; Verdict'!$F$9</definedName>
    <definedName name="EMI">'Inputs &amp; Verdict'!$F$10</definedName>
    <definedName name="horizonM">'Inputs &amp; Verdict'!$F$11</definedName>
    <definedName name="mfMo">'Inputs &amp; Verdict'!$F$12</definedName>
    <definedName name="monthlyAppn">'Inputs &amp; Verdict'!$F$13</definedName>
    <definedName name="monthlyRentInf">'Inputs &amp; Verdict'!$F$14</definedName>
    <definedName name="startRentalMonth">'Inputs &amp; Verdict'!$F$15</definedName>
    <definedName name="initRent">'Inputs &amp; Verdict'!$F$16</definedName>
    <definedName name="initMaint">'Inputs &amp; Verdict'!$F$17</definedName>
    <definedName name="initInvest">'Inputs &amp; Verdict'!$F$18</definedName>
    <definedName name="mtbl_HouseValue">'Monthly Detail'!$B$2:$B$361</definedName>
    <definedName name="mtbl_LoanBalClose">'Monthly Detail'!$I$2:$I$361</definedName>
    <definedName name="mtbl_MFBalClose">'Monthly Detail'!$K$2:$K$361</definedName>
    <definedName name="mtbl_CumRent">'Monthly Detail'!$L$2:$L$361</definedName>
    <definedName name="mtbl_CumSIP">'Monthly Detail'!$M$2:$M$361</definedName>
    <definedName name="mtbl_CumSWP">'Monthly Detail'!$N$2:$N$361</definedName>
    <definedName name="finalHouseValue">'Inputs &amp; Verdict'!$B$23</definedName>
    <definedName name="finalLoanBal">'Inputs &amp; Verdict'!$B$24</definedName>
    <definedName name="finalMFBal">'Inputs &amp; Verdict'!$B$25</definedName>
    <definedName name="finalCumRent">'Inputs &amp; Verdict'!$B$26</definedName>
    <definedName name="finalCumSIP">'Inputs &amp; Verdict'!$B$27</definedName>
    <definedName name="finalCumSWP">'Inputs &amp; Verdict'!$B$28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₹ &quot;#,##0;(&quot;₹ &quot;#,##0);-"/>
    <numFmt numFmtId="165" formatCode="0.0%;(0.0%);-"/>
    <numFmt numFmtId="166" formatCode="#,##0;(#,##0);-"/>
    <numFmt numFmtId="167" formatCode="0.00%;(0.00%);-"/>
  </numFmts>
  <fonts count="12">
    <font>
      <name val="Calibri"/>
      <family val="2"/>
      <color theme="1"/>
      <sz val="11"/>
      <scheme val="minor"/>
    </font>
    <font>
      <name val="Arial"/>
      <b val="1"/>
      <color rgb="00D4500A"/>
      <sz val="14"/>
    </font>
    <font>
      <name val="Arial"/>
      <b val="1"/>
      <color rgb="00666666"/>
      <sz val="11"/>
    </font>
    <font>
      <name val="Arial"/>
      <b val="1"/>
      <color rgb="00FFFFFF"/>
      <sz val="11"/>
    </font>
    <font>
      <name val="Arial"/>
      <color rgb="00000000"/>
    </font>
    <font>
      <name val="Arial"/>
      <b val="1"/>
      <color rgb="000000FF"/>
    </font>
    <font>
      <name val="Arial"/>
      <i val="1"/>
      <color rgb="00888888"/>
      <sz val="9"/>
    </font>
    <font>
      <name val="Arial"/>
      <color rgb="00008000"/>
    </font>
    <font>
      <name val="Arial"/>
      <b val="1"/>
    </font>
    <font>
      <name val="Arial"/>
      <b val="1"/>
      <sz val="12"/>
    </font>
    <font>
      <name val="Arial"/>
      <color rgb="00666666"/>
      <sz val="9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D4500A"/>
      </patternFill>
    </fill>
    <fill>
      <patternFill patternType="solid">
        <fgColor rgb="00FFF8E7"/>
      </patternFill>
    </fill>
    <fill>
      <patternFill patternType="solid">
        <fgColor rgb="00FDF5EB"/>
      </patternFill>
    </fill>
    <fill>
      <patternFill patternType="solid">
        <fgColor rgb="00FFE7C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pivotButton="0" quotePrefix="0" xfId="0"/>
    <xf numFmtId="164" fontId="5" fillId="3" borderId="0" applyAlignment="1" pivotButton="0" quotePrefix="0" xfId="0">
      <alignment horizontal="right" vertical="center"/>
    </xf>
    <xf numFmtId="0" fontId="6" fillId="0" borderId="0" pivotButton="0" quotePrefix="0" xfId="0"/>
    <xf numFmtId="164" fontId="4" fillId="0" borderId="0" applyAlignment="1" pivotButton="0" quotePrefix="0" xfId="0">
      <alignment horizontal="right" vertical="center"/>
    </xf>
    <xf numFmtId="165" fontId="5" fillId="3" borderId="0" applyAlignment="1" pivotButton="0" quotePrefix="0" xfId="0">
      <alignment horizontal="right" vertical="center"/>
    </xf>
    <xf numFmtId="166" fontId="5" fillId="3" borderId="0" applyAlignment="1" pivotButton="0" quotePrefix="0" xfId="0">
      <alignment horizontal="right" vertical="center"/>
    </xf>
    <xf numFmtId="167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67" fontId="5" fillId="3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5" borderId="0" pivotButton="0" quotePrefix="0" xfId="0"/>
    <xf numFmtId="164" fontId="8" fillId="5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164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0" fontId="3" fillId="2" borderId="0" pivotButton="0" quotePrefix="0" xfId="0"/>
    <xf numFmtId="0" fontId="10" fillId="0" borderId="0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4" fontId="0" fillId="0" borderId="0" pivotButton="0" quotePrefix="0" xfId="0"/>
    <xf numFmtId="0" fontId="0" fillId="4" borderId="0" applyAlignment="1" pivotButton="0" quotePrefix="0" xfId="0">
      <alignment horizontal="center" vertical="center"/>
    </xf>
    <xf numFmtId="164" fontId="0" fillId="4" borderId="0" pivotButton="0" quotePrefix="0" xfId="0"/>
    <xf numFmtId="0" fontId="1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Worth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'Annual Summary'!D1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'Annual Summary'!$A$2:$A$31</f>
            </numRef>
          </cat>
          <val>
            <numRef>
              <f>'Annual Summary'!$D$2:$D$31</f>
            </numRef>
          </val>
        </ser>
        <ser>
          <idx val="1"/>
          <order val="1"/>
          <tx>
            <strRef>
              <f>'Annual Summary'!E1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'Annual Summary'!$A$2:$A$31</f>
            </numRef>
          </cat>
          <val>
            <numRef>
              <f>'Annual Summary'!$E$2:$E$31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Worth (₹)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10</col>
      <colOff>0</colOff>
      <row>1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32" customWidth="1" min="3" max="3"/>
    <col width="4" customWidth="1" min="4" max="4"/>
    <col width="36" customWidth="1" min="5" max="5"/>
    <col width="22" customWidth="1" min="6" max="6"/>
  </cols>
  <sheetData>
    <row r="1">
      <c r="A1" s="1" t="inlineStr">
        <is>
          <t>Home Loan vs Mutual Fund — Decision Workbook</t>
        </is>
      </c>
    </row>
    <row r="2">
      <c r="A2" s="2" t="inlineStr">
        <is>
          <t>Buy-to-let property comparison · Down payment ⇄ Lumpsum · EMI ⇄ SIP · Rental ⇄ SWP</t>
        </is>
      </c>
    </row>
    <row r="4">
      <c r="A4" s="3" t="inlineStr">
        <is>
          <t>INPUTS  (blue = editable)</t>
        </is>
      </c>
      <c r="E4" s="3" t="inlineStr">
        <is>
          <t>DERIVED CONSTANTS</t>
        </is>
      </c>
    </row>
    <row r="5">
      <c r="A5" s="4" t="inlineStr">
        <is>
          <t>Property Price (₹)</t>
        </is>
      </c>
      <c r="B5" s="5" t="n">
        <v>10000000</v>
      </c>
      <c r="C5" s="6" t="inlineStr">
        <is>
          <t>Full purchase price of the property</t>
        </is>
      </c>
      <c r="E5" s="4" t="inlineStr">
        <is>
          <t>Down Payment (₹)</t>
        </is>
      </c>
      <c r="F5" s="7">
        <f>propPrice*downPayPct</f>
        <v/>
      </c>
    </row>
    <row r="6">
      <c r="A6" s="4" t="inlineStr">
        <is>
          <t>Down Payment (%)</t>
        </is>
      </c>
      <c r="B6" s="8" t="n">
        <v>0.2</v>
      </c>
      <c r="C6" s="6" t="inlineStr">
        <is>
          <t>Equity portion you put in upfront</t>
        </is>
      </c>
      <c r="E6" s="4" t="inlineStr">
        <is>
          <t>Stamp Duty Paid (₹)</t>
        </is>
      </c>
      <c r="F6" s="7">
        <f>propPrice*stampPct</f>
        <v/>
      </c>
    </row>
    <row r="7">
      <c r="A7" s="4" t="inlineStr">
        <is>
          <t>Loan Interest Rate (annual %)</t>
        </is>
      </c>
      <c r="B7" s="8" t="n">
        <v>0.09</v>
      </c>
      <c r="C7" s="6" t="inlineStr">
        <is>
          <t>EMI calculated from this</t>
        </is>
      </c>
      <c r="E7" s="4" t="inlineStr">
        <is>
          <t>Loan Amount (₹)</t>
        </is>
      </c>
      <c r="F7" s="7">
        <f>propPrice-B5*downPayPct</f>
        <v/>
      </c>
    </row>
    <row r="8">
      <c r="A8" s="4" t="inlineStr">
        <is>
          <t>Loan Tenure (years)</t>
        </is>
      </c>
      <c r="B8" s="9" t="n">
        <v>20</v>
      </c>
      <c r="C8" s="6" t="inlineStr"/>
      <c r="E8" s="4" t="inlineStr">
        <is>
          <t>Monthly Loan Rate</t>
        </is>
      </c>
      <c r="F8" s="10">
        <f>loanRate/12</f>
        <v/>
      </c>
    </row>
    <row r="9">
      <c r="A9" s="4" t="inlineStr">
        <is>
          <t>Property Appreciation (annual %)</t>
        </is>
      </c>
      <c r="B9" s="8" t="n">
        <v>0.07000000000000001</v>
      </c>
      <c r="C9" s="6" t="inlineStr">
        <is>
          <t>India urban CAGR typically 5-9%</t>
        </is>
      </c>
      <c r="E9" s="4" t="inlineStr">
        <is>
          <t>Loan Months</t>
        </is>
      </c>
      <c r="F9" s="11">
        <f>loanTenureY*12</f>
        <v/>
      </c>
    </row>
    <row r="10">
      <c r="A10" s="4" t="inlineStr">
        <is>
          <t>Rental Yield (annual %)</t>
        </is>
      </c>
      <c r="B10" s="12" t="n">
        <v>0.03</v>
      </c>
      <c r="C10" s="6" t="inlineStr">
        <is>
          <t>Gross rent / property price; India 2-4%</t>
        </is>
      </c>
      <c r="E10" s="4" t="inlineStr">
        <is>
          <t>Monthly EMI</t>
        </is>
      </c>
      <c r="F10" s="7">
        <f>IFERROR(-PMT(rMonthly,loanMonths,loanAmount),0)</f>
        <v/>
      </c>
    </row>
    <row r="11">
      <c r="A11" s="4" t="inlineStr">
        <is>
          <t>Rental Starts (year)</t>
        </is>
      </c>
      <c r="B11" s="9" t="n">
        <v>1</v>
      </c>
      <c r="C11" s="6" t="inlineStr">
        <is>
          <t>Set 2 or 3 if under-construction</t>
        </is>
      </c>
      <c r="E11" s="4" t="inlineStr">
        <is>
          <t>Horizon Months</t>
        </is>
      </c>
      <c r="F11" s="11">
        <f>horizonY*12</f>
        <v/>
      </c>
    </row>
    <row r="12">
      <c r="A12" s="4" t="inlineStr">
        <is>
          <t>Stamp Duty + Registration (one-time %)</t>
        </is>
      </c>
      <c r="B12" s="8" t="n">
        <v>0.07000000000000001</v>
      </c>
      <c r="C12" s="6" t="inlineStr">
        <is>
          <t>Mumbai ~6-7%</t>
        </is>
      </c>
      <c r="E12" s="4" t="inlineStr">
        <is>
          <t>Monthly MF Return</t>
        </is>
      </c>
      <c r="F12" s="10">
        <f>(1+mfReturn)^(1/12)-1</f>
        <v/>
      </c>
    </row>
    <row r="13">
      <c r="A13" s="4" t="inlineStr">
        <is>
          <t>Maintenance + Property Tax (annual %)</t>
        </is>
      </c>
      <c r="B13" s="12" t="n">
        <v>0.008</v>
      </c>
      <c r="C13" s="6" t="inlineStr">
        <is>
          <t>Society + repairs + tax</t>
        </is>
      </c>
      <c r="E13" s="4" t="inlineStr">
        <is>
          <t>Monthly Property Appreciation</t>
        </is>
      </c>
      <c r="F13" s="10">
        <f>(1+propAppn)^(1/12)-1</f>
        <v/>
      </c>
    </row>
    <row r="14">
      <c r="A14" s="4" t="inlineStr">
        <is>
          <t>Vacancy + Brokerage Drag (% of rent)</t>
        </is>
      </c>
      <c r="B14" s="8" t="n">
        <v>0.1</v>
      </c>
      <c r="C14" s="6" t="inlineStr">
        <is>
          <t>1-2 month vacancy/yr + brokerage</t>
        </is>
      </c>
      <c r="E14" s="4" t="inlineStr">
        <is>
          <t>Monthly Rent/Maint Inflation</t>
        </is>
      </c>
      <c r="F14" s="10">
        <f>(1+rentInflation)^(1/12)-1</f>
        <v/>
      </c>
    </row>
    <row r="15">
      <c r="A15" s="4" t="inlineStr">
        <is>
          <t>Rent &amp; Maint Inflation (annual %)</t>
        </is>
      </c>
      <c r="B15" s="8" t="n">
        <v>0.06</v>
      </c>
      <c r="C15" s="6" t="inlineStr">
        <is>
          <t>Independent of property appreciation</t>
        </is>
      </c>
      <c r="E15" s="4" t="inlineStr">
        <is>
          <t>Rental Start Month</t>
        </is>
      </c>
      <c r="F15" s="11">
        <f>(rentalStartY-1)*12+1</f>
        <v/>
      </c>
    </row>
    <row r="16">
      <c r="A16" s="4" t="inlineStr">
        <is>
          <t>MF Expected Return (CAGR, post-TER, %)</t>
        </is>
      </c>
      <c r="B16" s="8" t="n">
        <v>0.11</v>
      </c>
      <c r="C16" s="6" t="inlineStr">
        <is>
          <t>NAV-based CAGR (net of expense ratio)</t>
        </is>
      </c>
      <c r="E16" s="4" t="inlineStr">
        <is>
          <t>Initial Monthly Rent</t>
        </is>
      </c>
      <c r="F16" s="7">
        <f>propPrice*rentalYield/12</f>
        <v/>
      </c>
    </row>
    <row r="17">
      <c r="A17" s="4" t="inlineStr">
        <is>
          <t>LTCG % (both sides)</t>
        </is>
      </c>
      <c r="B17" s="12" t="n">
        <v>0.125</v>
      </c>
      <c r="C17" s="6" t="inlineStr">
        <is>
          <t>12.5% post-Jul 2024 regime</t>
        </is>
      </c>
      <c r="E17" s="4" t="inlineStr">
        <is>
          <t>Initial Monthly Maintenance</t>
        </is>
      </c>
      <c r="F17" s="7">
        <f>propPrice*maintPct/12</f>
        <v/>
      </c>
    </row>
    <row r="18">
      <c r="A18" s="4" t="inlineStr">
        <is>
          <t>Horizon (years)</t>
        </is>
      </c>
      <c r="B18" s="9" t="n">
        <v>20</v>
      </c>
      <c r="C18" s="6" t="inlineStr">
        <is>
          <t>5–30; both sides marked-to-market</t>
        </is>
      </c>
      <c r="E18" s="4" t="inlineStr">
        <is>
          <t>Initial Investable (DP+Stamp)</t>
        </is>
      </c>
      <c r="F18" s="7">
        <f>propPrice*downPayPct+propPrice*stampPct</f>
        <v/>
      </c>
    </row>
    <row r="22">
      <c r="A22" s="3" t="inlineStr">
        <is>
          <t>AT HORIZON</t>
        </is>
      </c>
      <c r="E22" s="3" t="inlineStr">
        <is>
          <t>TAX &amp; NET WORTH</t>
        </is>
      </c>
    </row>
    <row r="23">
      <c r="A23" s="4" t="inlineStr">
        <is>
          <t>Final House Value</t>
        </is>
      </c>
      <c r="B23" s="13">
        <f>INDEX(mtbl_HouseValue, horizonM)</f>
        <v/>
      </c>
      <c r="E23" s="4" t="inlineStr">
        <is>
          <t>House Cost Basis (price+stamp)</t>
        </is>
      </c>
      <c r="F23" s="7">
        <f>propPrice+stampPaid</f>
        <v/>
      </c>
    </row>
    <row r="24">
      <c r="A24" s="4" t="inlineStr">
        <is>
          <t>Final Loan Balance</t>
        </is>
      </c>
      <c r="B24" s="13">
        <f>INDEX(mtbl_LoanBalClose, horizonM)</f>
        <v/>
      </c>
      <c r="E24" s="4" t="inlineStr">
        <is>
          <t>House Gain Gross</t>
        </is>
      </c>
      <c r="F24" s="7">
        <f>MAX(0, finalHouseValue-(propPrice+stampPaid))</f>
        <v/>
      </c>
    </row>
    <row r="25">
      <c r="A25" s="4" t="inlineStr">
        <is>
          <t>Final MF Balance</t>
        </is>
      </c>
      <c r="B25" s="13">
        <f>INDEX(mtbl_MFBalClose, horizonM)</f>
        <v/>
      </c>
      <c r="E25" s="4" t="inlineStr">
        <is>
          <t>House LTCG (after ₹1.25L exempt)</t>
        </is>
      </c>
      <c r="F25" s="7">
        <f>MAX(0, MAX(0, finalHouseValue-(propPrice+stampPaid))-125000)*ltcgPct</f>
        <v/>
      </c>
    </row>
    <row r="26">
      <c r="A26" s="4" t="inlineStr">
        <is>
          <t>Cumulative Rent (net)</t>
        </is>
      </c>
      <c r="B26" s="13">
        <f>INDEX(mtbl_CumRent, horizonM)</f>
        <v/>
      </c>
      <c r="E26" s="4" t="inlineStr">
        <is>
          <t>MF Cost Basis (init+ΣSIP-ΣSWP)</t>
        </is>
      </c>
      <c r="F26" s="7">
        <f>initInvest+finalCumSIP-finalCumSWP</f>
        <v/>
      </c>
    </row>
    <row r="27">
      <c r="A27" s="4" t="inlineStr">
        <is>
          <t>Cumulative SIP (incl EMI)</t>
        </is>
      </c>
      <c r="B27" s="13">
        <f>INDEX(mtbl_CumSIP, horizonM)</f>
        <v/>
      </c>
      <c r="E27" s="4" t="inlineStr">
        <is>
          <t>MF Gain Gross</t>
        </is>
      </c>
      <c r="F27" s="7">
        <f>MAX(0, finalMFBal-(initInvest+finalCumSIP-finalCumSWP))</f>
        <v/>
      </c>
    </row>
    <row r="28">
      <c r="A28" s="4" t="inlineStr">
        <is>
          <t>Cumulative SWP</t>
        </is>
      </c>
      <c r="B28" s="13">
        <f>INDEX(mtbl_CumSWP, horizonM)</f>
        <v/>
      </c>
      <c r="E28" s="4" t="inlineStr">
        <is>
          <t>MF LTCG (after ₹1.25L exempt)</t>
        </is>
      </c>
      <c r="F28" s="7">
        <f>MAX(0, MAX(0, finalMFBal-(initInvest+finalCumSIP-finalCumSWP))-125000)*ltcgPct</f>
        <v/>
      </c>
    </row>
    <row r="29">
      <c r="E29" s="14" t="inlineStr">
        <is>
          <t>House Net Worth at Exit</t>
        </is>
      </c>
      <c r="F29" s="15">
        <f>finalHouseValue-finalLoanBal-MAX(0, MAX(0, finalHouseValue-(propPrice+stampPaid))-125000)*ltcgPct</f>
        <v/>
      </c>
    </row>
    <row r="30">
      <c r="E30" s="14" t="inlineStr">
        <is>
          <t>MF Net Worth at Exit</t>
        </is>
      </c>
      <c r="F30" s="15">
        <f>finalMFBal-MAX(0, MAX(0, finalMFBal-(initInvest+finalCumSIP-finalCumSWP))-125000)*ltcgPct</f>
        <v/>
      </c>
    </row>
    <row r="33">
      <c r="A33" s="3" t="inlineStr">
        <is>
          <t>VERDICT</t>
        </is>
      </c>
    </row>
    <row r="34">
      <c r="A34" t="inlineStr">
        <is>
          <t>Winner</t>
        </is>
      </c>
      <c r="B34" s="16">
        <f>IF(F30&gt;=F29, "Mutual Fund", "Real Estate")</f>
        <v/>
      </c>
    </row>
    <row r="35">
      <c r="A35" t="inlineStr">
        <is>
          <t>Difference (MF − House)</t>
        </is>
      </c>
      <c r="B35" s="17">
        <f>F30-F29</f>
        <v/>
      </c>
    </row>
    <row r="36">
      <c r="A36" t="inlineStr">
        <is>
          <t>Edge as % of initial outlay</t>
        </is>
      </c>
      <c r="B36" s="18">
        <f>ABS(F30-F29)/initInvest</f>
        <v/>
      </c>
    </row>
    <row r="38">
      <c r="A38" s="19" t="inlineStr">
        <is>
          <t>NOTES</t>
        </is>
      </c>
    </row>
    <row r="39" ht="30" customHeight="1">
      <c r="A39" s="20" t="inlineStr">
        <is>
          <t>• Net rent received by the house owner is treated as CONSUMED (not reinvested). The MF side mirrors this by SWP-ing the same net amount each month — so both sides are on equal cashflow ground.</t>
        </is>
      </c>
    </row>
    <row r="40" ht="30" customHeight="1">
      <c r="A40" s="20" t="inlineStr">
        <is>
          <t>• Initial MF lumpsum = Down Payment + Stamp Duty. The house owner forfeits stamp duty; the MF owner gets to invest it.</t>
        </is>
      </c>
    </row>
    <row r="41" ht="30" customHeight="1">
      <c r="A41" s="20" t="inlineStr">
        <is>
          <t>• Each month's EMI flows into the MF side as a monthly SIP. If rent is positive, an equivalent SWP is drawn from MF.</t>
        </is>
      </c>
    </row>
    <row r="42" ht="30" customHeight="1">
      <c r="A42" s="20" t="inlineStr">
        <is>
          <t>• Both sides pay LTCG at horizon at the same rate (post-Jul 2024 regime, no indexation). ₹1.25L exemption applied once at horizon to each side.</t>
        </is>
      </c>
    </row>
    <row r="43" ht="30" customHeight="1">
      <c r="A43" s="20" t="inlineStr">
        <is>
          <t>• Rent and maintenance inflate at the same rate, INDEPENDENT of property appreciation. This is realistic — rents track rental-market inflation, not capital-value appreciation.</t>
        </is>
      </c>
    </row>
    <row r="44" ht="30" customHeight="1">
      <c r="A44" s="20" t="inlineStr">
        <is>
          <t>• Personal income tax on rental income is NOT modelled (Section 24 standard deduction + tax on net rental).</t>
        </is>
      </c>
    </row>
  </sheetData>
  <mergeCells count="14">
    <mergeCell ref="A38:F38"/>
    <mergeCell ref="A2:F2"/>
    <mergeCell ref="E4:F4"/>
    <mergeCell ref="A33:F33"/>
    <mergeCell ref="A41:F41"/>
    <mergeCell ref="A42:F42"/>
    <mergeCell ref="A44:F44"/>
    <mergeCell ref="A1:F1"/>
    <mergeCell ref="A22:C22"/>
    <mergeCell ref="E22:F22"/>
    <mergeCell ref="A40:F40"/>
    <mergeCell ref="A4:C4"/>
    <mergeCell ref="A39:F39"/>
    <mergeCell ref="A43:F4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6" customWidth="1" min="2" max="2"/>
    <col width="14" customWidth="1" min="3" max="3"/>
    <col width="12" customWidth="1" min="4" max="4"/>
    <col width="14" customWidth="1" min="5" max="5"/>
    <col width="14" customWidth="1" min="6" max="6"/>
    <col width="13" customWidth="1" min="7" max="7"/>
    <col width="12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30" customHeight="1">
      <c r="A1" s="21" t="inlineStr">
        <is>
          <t>Month</t>
        </is>
      </c>
      <c r="B1" s="21" t="inlineStr">
        <is>
          <t>House Value</t>
        </is>
      </c>
      <c r="C1" s="21" t="inlineStr">
        <is>
          <t>Monthly Rent Gross</t>
        </is>
      </c>
      <c r="D1" s="21" t="inlineStr">
        <is>
          <t>Monthly Maint</t>
        </is>
      </c>
      <c r="E1" s="21" t="inlineStr">
        <is>
          <t>Rent Net (Recv−Maint)</t>
        </is>
      </c>
      <c r="F1" s="21" t="inlineStr">
        <is>
          <t>Loan Bal Open</t>
        </is>
      </c>
      <c r="G1" s="21" t="inlineStr">
        <is>
          <t>Interest This Mo</t>
        </is>
      </c>
      <c r="H1" s="21" t="inlineStr">
        <is>
          <t>EMI Paid</t>
        </is>
      </c>
      <c r="I1" s="21" t="inlineStr">
        <is>
          <t>Loan Bal Close</t>
        </is>
      </c>
      <c r="J1" s="21" t="inlineStr">
        <is>
          <t>MF Bal Open</t>
        </is>
      </c>
      <c r="K1" s="21" t="inlineStr">
        <is>
          <t>MF Bal Close</t>
        </is>
      </c>
      <c r="L1" s="21" t="inlineStr">
        <is>
          <t>Cum Rent Net</t>
        </is>
      </c>
      <c r="M1" s="21" t="inlineStr">
        <is>
          <t>Cum SIP</t>
        </is>
      </c>
      <c r="N1" s="21" t="inlineStr">
        <is>
          <t>Cum SWP</t>
        </is>
      </c>
    </row>
    <row r="2">
      <c r="A2" s="22" t="n">
        <v>1</v>
      </c>
      <c r="B2" s="23">
        <f>propPrice*(1+monthlyAppn)^A2</f>
        <v/>
      </c>
      <c r="C2" s="23">
        <f>IF(A2&gt;=startRentalMonth, initRent*(1+monthlyRentInf)^(A2-1), 0)</f>
        <v/>
      </c>
      <c r="D2" s="23">
        <f>initMaint*(1+monthlyRentInf)^(A2-1)</f>
        <v/>
      </c>
      <c r="E2" s="23">
        <f>C2*(1-vacancyPct)-D2</f>
        <v/>
      </c>
      <c r="F2" s="23">
        <f>loanAmount</f>
        <v/>
      </c>
      <c r="G2" s="23">
        <f>IF(AND(F2&gt;0, A2&lt;=loanMonths), F2*rMonthly, 0)</f>
        <v/>
      </c>
      <c r="H2" s="23">
        <f>IF(AND(F2&gt;0, A2&lt;=loanMonths), EMI, 0)</f>
        <v/>
      </c>
      <c r="I2" s="23">
        <f>IF(AND(F2&gt;0, A2&lt;=loanMonths), MAX(0, F2-MIN(EMI-G2, F2)), F2)</f>
        <v/>
      </c>
      <c r="J2" s="23">
        <f>initInvest</f>
        <v/>
      </c>
      <c r="K2" s="23">
        <f>J2*(1+mfMo)+H2-E2</f>
        <v/>
      </c>
      <c r="L2" s="23">
        <f>E2</f>
        <v/>
      </c>
      <c r="M2" s="23">
        <f>H2+MAX(0,-E2)</f>
        <v/>
      </c>
      <c r="N2" s="23">
        <f>MAX(0,E2)</f>
        <v/>
      </c>
    </row>
    <row r="3">
      <c r="A3" s="24" t="n">
        <v>2</v>
      </c>
      <c r="B3" s="25">
        <f>propPrice*(1+monthlyAppn)^A3</f>
        <v/>
      </c>
      <c r="C3" s="25">
        <f>IF(A3&gt;=startRentalMonth, initRent*(1+monthlyRentInf)^(A3-1), 0)</f>
        <v/>
      </c>
      <c r="D3" s="25">
        <f>initMaint*(1+monthlyRentInf)^(A3-1)</f>
        <v/>
      </c>
      <c r="E3" s="25">
        <f>C3*(1-vacancyPct)-D3</f>
        <v/>
      </c>
      <c r="F3" s="25">
        <f>I2</f>
        <v/>
      </c>
      <c r="G3" s="25">
        <f>IF(AND(F3&gt;0, A3&lt;=loanMonths), F3*rMonthly, 0)</f>
        <v/>
      </c>
      <c r="H3" s="25">
        <f>IF(AND(F3&gt;0, A3&lt;=loanMonths), EMI, 0)</f>
        <v/>
      </c>
      <c r="I3" s="25">
        <f>IF(AND(F3&gt;0, A3&lt;=loanMonths), MAX(0, F3-MIN(EMI-G3, F3)), F3)</f>
        <v/>
      </c>
      <c r="J3" s="25">
        <f>K2</f>
        <v/>
      </c>
      <c r="K3" s="25">
        <f>J3*(1+mfMo)+H3-E3</f>
        <v/>
      </c>
      <c r="L3" s="25">
        <f>L2+E3</f>
        <v/>
      </c>
      <c r="M3" s="25">
        <f>M2+H3+MAX(0,-E3)</f>
        <v/>
      </c>
      <c r="N3" s="25">
        <f>N2+MAX(0,E3)</f>
        <v/>
      </c>
    </row>
    <row r="4">
      <c r="A4" s="22" t="n">
        <v>3</v>
      </c>
      <c r="B4" s="23">
        <f>propPrice*(1+monthlyAppn)^A4</f>
        <v/>
      </c>
      <c r="C4" s="23">
        <f>IF(A4&gt;=startRentalMonth, initRent*(1+monthlyRentInf)^(A4-1), 0)</f>
        <v/>
      </c>
      <c r="D4" s="23">
        <f>initMaint*(1+monthlyRentInf)^(A4-1)</f>
        <v/>
      </c>
      <c r="E4" s="23">
        <f>C4*(1-vacancyPct)-D4</f>
        <v/>
      </c>
      <c r="F4" s="23">
        <f>I3</f>
        <v/>
      </c>
      <c r="G4" s="23">
        <f>IF(AND(F4&gt;0, A4&lt;=loanMonths), F4*rMonthly, 0)</f>
        <v/>
      </c>
      <c r="H4" s="23">
        <f>IF(AND(F4&gt;0, A4&lt;=loanMonths), EMI, 0)</f>
        <v/>
      </c>
      <c r="I4" s="23">
        <f>IF(AND(F4&gt;0, A4&lt;=loanMonths), MAX(0, F4-MIN(EMI-G4, F4)), F4)</f>
        <v/>
      </c>
      <c r="J4" s="23">
        <f>K3</f>
        <v/>
      </c>
      <c r="K4" s="23">
        <f>J4*(1+mfMo)+H4-E4</f>
        <v/>
      </c>
      <c r="L4" s="23">
        <f>L3+E4</f>
        <v/>
      </c>
      <c r="M4" s="23">
        <f>M3+H4+MAX(0,-E4)</f>
        <v/>
      </c>
      <c r="N4" s="23">
        <f>N3+MAX(0,E4)</f>
        <v/>
      </c>
    </row>
    <row r="5">
      <c r="A5" s="24" t="n">
        <v>4</v>
      </c>
      <c r="B5" s="25">
        <f>propPrice*(1+monthlyAppn)^A5</f>
        <v/>
      </c>
      <c r="C5" s="25">
        <f>IF(A5&gt;=startRentalMonth, initRent*(1+monthlyRentInf)^(A5-1), 0)</f>
        <v/>
      </c>
      <c r="D5" s="25">
        <f>initMaint*(1+monthlyRentInf)^(A5-1)</f>
        <v/>
      </c>
      <c r="E5" s="25">
        <f>C5*(1-vacancyPct)-D5</f>
        <v/>
      </c>
      <c r="F5" s="25">
        <f>I4</f>
        <v/>
      </c>
      <c r="G5" s="25">
        <f>IF(AND(F5&gt;0, A5&lt;=loanMonths), F5*rMonthly, 0)</f>
        <v/>
      </c>
      <c r="H5" s="25">
        <f>IF(AND(F5&gt;0, A5&lt;=loanMonths), EMI, 0)</f>
        <v/>
      </c>
      <c r="I5" s="25">
        <f>IF(AND(F5&gt;0, A5&lt;=loanMonths), MAX(0, F5-MIN(EMI-G5, F5)), F5)</f>
        <v/>
      </c>
      <c r="J5" s="25">
        <f>K4</f>
        <v/>
      </c>
      <c r="K5" s="25">
        <f>J5*(1+mfMo)+H5-E5</f>
        <v/>
      </c>
      <c r="L5" s="25">
        <f>L4+E5</f>
        <v/>
      </c>
      <c r="M5" s="25">
        <f>M4+H5+MAX(0,-E5)</f>
        <v/>
      </c>
      <c r="N5" s="25">
        <f>N4+MAX(0,E5)</f>
        <v/>
      </c>
    </row>
    <row r="6">
      <c r="A6" s="22" t="n">
        <v>5</v>
      </c>
      <c r="B6" s="23">
        <f>propPrice*(1+monthlyAppn)^A6</f>
        <v/>
      </c>
      <c r="C6" s="23">
        <f>IF(A6&gt;=startRentalMonth, initRent*(1+monthlyRentInf)^(A6-1), 0)</f>
        <v/>
      </c>
      <c r="D6" s="23">
        <f>initMaint*(1+monthlyRentInf)^(A6-1)</f>
        <v/>
      </c>
      <c r="E6" s="23">
        <f>C6*(1-vacancyPct)-D6</f>
        <v/>
      </c>
      <c r="F6" s="23">
        <f>I5</f>
        <v/>
      </c>
      <c r="G6" s="23">
        <f>IF(AND(F6&gt;0, A6&lt;=loanMonths), F6*rMonthly, 0)</f>
        <v/>
      </c>
      <c r="H6" s="23">
        <f>IF(AND(F6&gt;0, A6&lt;=loanMonths), EMI, 0)</f>
        <v/>
      </c>
      <c r="I6" s="23">
        <f>IF(AND(F6&gt;0, A6&lt;=loanMonths), MAX(0, F6-MIN(EMI-G6, F6)), F6)</f>
        <v/>
      </c>
      <c r="J6" s="23">
        <f>K5</f>
        <v/>
      </c>
      <c r="K6" s="23">
        <f>J6*(1+mfMo)+H6-E6</f>
        <v/>
      </c>
      <c r="L6" s="23">
        <f>L5+E6</f>
        <v/>
      </c>
      <c r="M6" s="23">
        <f>M5+H6+MAX(0,-E6)</f>
        <v/>
      </c>
      <c r="N6" s="23">
        <f>N5+MAX(0,E6)</f>
        <v/>
      </c>
    </row>
    <row r="7">
      <c r="A7" s="24" t="n">
        <v>6</v>
      </c>
      <c r="B7" s="25">
        <f>propPrice*(1+monthlyAppn)^A7</f>
        <v/>
      </c>
      <c r="C7" s="25">
        <f>IF(A7&gt;=startRentalMonth, initRent*(1+monthlyRentInf)^(A7-1), 0)</f>
        <v/>
      </c>
      <c r="D7" s="25">
        <f>initMaint*(1+monthlyRentInf)^(A7-1)</f>
        <v/>
      </c>
      <c r="E7" s="25">
        <f>C7*(1-vacancyPct)-D7</f>
        <v/>
      </c>
      <c r="F7" s="25">
        <f>I6</f>
        <v/>
      </c>
      <c r="G7" s="25">
        <f>IF(AND(F7&gt;0, A7&lt;=loanMonths), F7*rMonthly, 0)</f>
        <v/>
      </c>
      <c r="H7" s="25">
        <f>IF(AND(F7&gt;0, A7&lt;=loanMonths), EMI, 0)</f>
        <v/>
      </c>
      <c r="I7" s="25">
        <f>IF(AND(F7&gt;0, A7&lt;=loanMonths), MAX(0, F7-MIN(EMI-G7, F7)), F7)</f>
        <v/>
      </c>
      <c r="J7" s="25">
        <f>K6</f>
        <v/>
      </c>
      <c r="K7" s="25">
        <f>J7*(1+mfMo)+H7-E7</f>
        <v/>
      </c>
      <c r="L7" s="25">
        <f>L6+E7</f>
        <v/>
      </c>
      <c r="M7" s="25">
        <f>M6+H7+MAX(0,-E7)</f>
        <v/>
      </c>
      <c r="N7" s="25">
        <f>N6+MAX(0,E7)</f>
        <v/>
      </c>
    </row>
    <row r="8">
      <c r="A8" s="22" t="n">
        <v>7</v>
      </c>
      <c r="B8" s="23">
        <f>propPrice*(1+monthlyAppn)^A8</f>
        <v/>
      </c>
      <c r="C8" s="23">
        <f>IF(A8&gt;=startRentalMonth, initRent*(1+monthlyRentInf)^(A8-1), 0)</f>
        <v/>
      </c>
      <c r="D8" s="23">
        <f>initMaint*(1+monthlyRentInf)^(A8-1)</f>
        <v/>
      </c>
      <c r="E8" s="23">
        <f>C8*(1-vacancyPct)-D8</f>
        <v/>
      </c>
      <c r="F8" s="23">
        <f>I7</f>
        <v/>
      </c>
      <c r="G8" s="23">
        <f>IF(AND(F8&gt;0, A8&lt;=loanMonths), F8*rMonthly, 0)</f>
        <v/>
      </c>
      <c r="H8" s="23">
        <f>IF(AND(F8&gt;0, A8&lt;=loanMonths), EMI, 0)</f>
        <v/>
      </c>
      <c r="I8" s="23">
        <f>IF(AND(F8&gt;0, A8&lt;=loanMonths), MAX(0, F8-MIN(EMI-G8, F8)), F8)</f>
        <v/>
      </c>
      <c r="J8" s="23">
        <f>K7</f>
        <v/>
      </c>
      <c r="K8" s="23">
        <f>J8*(1+mfMo)+H8-E8</f>
        <v/>
      </c>
      <c r="L8" s="23">
        <f>L7+E8</f>
        <v/>
      </c>
      <c r="M8" s="23">
        <f>M7+H8+MAX(0,-E8)</f>
        <v/>
      </c>
      <c r="N8" s="23">
        <f>N7+MAX(0,E8)</f>
        <v/>
      </c>
    </row>
    <row r="9">
      <c r="A9" s="24" t="n">
        <v>8</v>
      </c>
      <c r="B9" s="25">
        <f>propPrice*(1+monthlyAppn)^A9</f>
        <v/>
      </c>
      <c r="C9" s="25">
        <f>IF(A9&gt;=startRentalMonth, initRent*(1+monthlyRentInf)^(A9-1), 0)</f>
        <v/>
      </c>
      <c r="D9" s="25">
        <f>initMaint*(1+monthlyRentInf)^(A9-1)</f>
        <v/>
      </c>
      <c r="E9" s="25">
        <f>C9*(1-vacancyPct)-D9</f>
        <v/>
      </c>
      <c r="F9" s="25">
        <f>I8</f>
        <v/>
      </c>
      <c r="G9" s="25">
        <f>IF(AND(F9&gt;0, A9&lt;=loanMonths), F9*rMonthly, 0)</f>
        <v/>
      </c>
      <c r="H9" s="25">
        <f>IF(AND(F9&gt;0, A9&lt;=loanMonths), EMI, 0)</f>
        <v/>
      </c>
      <c r="I9" s="25">
        <f>IF(AND(F9&gt;0, A9&lt;=loanMonths), MAX(0, F9-MIN(EMI-G9, F9)), F9)</f>
        <v/>
      </c>
      <c r="J9" s="25">
        <f>K8</f>
        <v/>
      </c>
      <c r="K9" s="25">
        <f>J9*(1+mfMo)+H9-E9</f>
        <v/>
      </c>
      <c r="L9" s="25">
        <f>L8+E9</f>
        <v/>
      </c>
      <c r="M9" s="25">
        <f>M8+H9+MAX(0,-E9)</f>
        <v/>
      </c>
      <c r="N9" s="25">
        <f>N8+MAX(0,E9)</f>
        <v/>
      </c>
    </row>
    <row r="10">
      <c r="A10" s="22" t="n">
        <v>9</v>
      </c>
      <c r="B10" s="23">
        <f>propPrice*(1+monthlyAppn)^A10</f>
        <v/>
      </c>
      <c r="C10" s="23">
        <f>IF(A10&gt;=startRentalMonth, initRent*(1+monthlyRentInf)^(A10-1), 0)</f>
        <v/>
      </c>
      <c r="D10" s="23">
        <f>initMaint*(1+monthlyRentInf)^(A10-1)</f>
        <v/>
      </c>
      <c r="E10" s="23">
        <f>C10*(1-vacancyPct)-D10</f>
        <v/>
      </c>
      <c r="F10" s="23">
        <f>I9</f>
        <v/>
      </c>
      <c r="G10" s="23">
        <f>IF(AND(F10&gt;0, A10&lt;=loanMonths), F10*rMonthly, 0)</f>
        <v/>
      </c>
      <c r="H10" s="23">
        <f>IF(AND(F10&gt;0, A10&lt;=loanMonths), EMI, 0)</f>
        <v/>
      </c>
      <c r="I10" s="23">
        <f>IF(AND(F10&gt;0, A10&lt;=loanMonths), MAX(0, F10-MIN(EMI-G10, F10)), F10)</f>
        <v/>
      </c>
      <c r="J10" s="23">
        <f>K9</f>
        <v/>
      </c>
      <c r="K10" s="23">
        <f>J10*(1+mfMo)+H10-E10</f>
        <v/>
      </c>
      <c r="L10" s="23">
        <f>L9+E10</f>
        <v/>
      </c>
      <c r="M10" s="23">
        <f>M9+H10+MAX(0,-E10)</f>
        <v/>
      </c>
      <c r="N10" s="23">
        <f>N9+MAX(0,E10)</f>
        <v/>
      </c>
    </row>
    <row r="11">
      <c r="A11" s="24" t="n">
        <v>10</v>
      </c>
      <c r="B11" s="25">
        <f>propPrice*(1+monthlyAppn)^A11</f>
        <v/>
      </c>
      <c r="C11" s="25">
        <f>IF(A11&gt;=startRentalMonth, initRent*(1+monthlyRentInf)^(A11-1), 0)</f>
        <v/>
      </c>
      <c r="D11" s="25">
        <f>initMaint*(1+monthlyRentInf)^(A11-1)</f>
        <v/>
      </c>
      <c r="E11" s="25">
        <f>C11*(1-vacancyPct)-D11</f>
        <v/>
      </c>
      <c r="F11" s="25">
        <f>I10</f>
        <v/>
      </c>
      <c r="G11" s="25">
        <f>IF(AND(F11&gt;0, A11&lt;=loanMonths), F11*rMonthly, 0)</f>
        <v/>
      </c>
      <c r="H11" s="25">
        <f>IF(AND(F11&gt;0, A11&lt;=loanMonths), EMI, 0)</f>
        <v/>
      </c>
      <c r="I11" s="25">
        <f>IF(AND(F11&gt;0, A11&lt;=loanMonths), MAX(0, F11-MIN(EMI-G11, F11)), F11)</f>
        <v/>
      </c>
      <c r="J11" s="25">
        <f>K10</f>
        <v/>
      </c>
      <c r="K11" s="25">
        <f>J11*(1+mfMo)+H11-E11</f>
        <v/>
      </c>
      <c r="L11" s="25">
        <f>L10+E11</f>
        <v/>
      </c>
      <c r="M11" s="25">
        <f>M10+H11+MAX(0,-E11)</f>
        <v/>
      </c>
      <c r="N11" s="25">
        <f>N10+MAX(0,E11)</f>
        <v/>
      </c>
    </row>
    <row r="12">
      <c r="A12" s="22" t="n">
        <v>11</v>
      </c>
      <c r="B12" s="23">
        <f>propPrice*(1+monthlyAppn)^A12</f>
        <v/>
      </c>
      <c r="C12" s="23">
        <f>IF(A12&gt;=startRentalMonth, initRent*(1+monthlyRentInf)^(A12-1), 0)</f>
        <v/>
      </c>
      <c r="D12" s="23">
        <f>initMaint*(1+monthlyRentInf)^(A12-1)</f>
        <v/>
      </c>
      <c r="E12" s="23">
        <f>C12*(1-vacancyPct)-D12</f>
        <v/>
      </c>
      <c r="F12" s="23">
        <f>I11</f>
        <v/>
      </c>
      <c r="G12" s="23">
        <f>IF(AND(F12&gt;0, A12&lt;=loanMonths), F12*rMonthly, 0)</f>
        <v/>
      </c>
      <c r="H12" s="23">
        <f>IF(AND(F12&gt;0, A12&lt;=loanMonths), EMI, 0)</f>
        <v/>
      </c>
      <c r="I12" s="23">
        <f>IF(AND(F12&gt;0, A12&lt;=loanMonths), MAX(0, F12-MIN(EMI-G12, F12)), F12)</f>
        <v/>
      </c>
      <c r="J12" s="23">
        <f>K11</f>
        <v/>
      </c>
      <c r="K12" s="23">
        <f>J12*(1+mfMo)+H12-E12</f>
        <v/>
      </c>
      <c r="L12" s="23">
        <f>L11+E12</f>
        <v/>
      </c>
      <c r="M12" s="23">
        <f>M11+H12+MAX(0,-E12)</f>
        <v/>
      </c>
      <c r="N12" s="23">
        <f>N11+MAX(0,E12)</f>
        <v/>
      </c>
    </row>
    <row r="13">
      <c r="A13" s="24" t="n">
        <v>12</v>
      </c>
      <c r="B13" s="25">
        <f>propPrice*(1+monthlyAppn)^A13</f>
        <v/>
      </c>
      <c r="C13" s="25">
        <f>IF(A13&gt;=startRentalMonth, initRent*(1+monthlyRentInf)^(A13-1), 0)</f>
        <v/>
      </c>
      <c r="D13" s="25">
        <f>initMaint*(1+monthlyRentInf)^(A13-1)</f>
        <v/>
      </c>
      <c r="E13" s="25">
        <f>C13*(1-vacancyPct)-D13</f>
        <v/>
      </c>
      <c r="F13" s="25">
        <f>I12</f>
        <v/>
      </c>
      <c r="G13" s="25">
        <f>IF(AND(F13&gt;0, A13&lt;=loanMonths), F13*rMonthly, 0)</f>
        <v/>
      </c>
      <c r="H13" s="25">
        <f>IF(AND(F13&gt;0, A13&lt;=loanMonths), EMI, 0)</f>
        <v/>
      </c>
      <c r="I13" s="25">
        <f>IF(AND(F13&gt;0, A13&lt;=loanMonths), MAX(0, F13-MIN(EMI-G13, F13)), F13)</f>
        <v/>
      </c>
      <c r="J13" s="25">
        <f>K12</f>
        <v/>
      </c>
      <c r="K13" s="25">
        <f>J13*(1+mfMo)+H13-E13</f>
        <v/>
      </c>
      <c r="L13" s="25">
        <f>L12+E13</f>
        <v/>
      </c>
      <c r="M13" s="25">
        <f>M12+H13+MAX(0,-E13)</f>
        <v/>
      </c>
      <c r="N13" s="25">
        <f>N12+MAX(0,E13)</f>
        <v/>
      </c>
    </row>
    <row r="14">
      <c r="A14" s="22" t="n">
        <v>13</v>
      </c>
      <c r="B14" s="23">
        <f>propPrice*(1+monthlyAppn)^A14</f>
        <v/>
      </c>
      <c r="C14" s="23">
        <f>IF(A14&gt;=startRentalMonth, initRent*(1+monthlyRentInf)^(A14-1), 0)</f>
        <v/>
      </c>
      <c r="D14" s="23">
        <f>initMaint*(1+monthlyRentInf)^(A14-1)</f>
        <v/>
      </c>
      <c r="E14" s="23">
        <f>C14*(1-vacancyPct)-D14</f>
        <v/>
      </c>
      <c r="F14" s="23">
        <f>I13</f>
        <v/>
      </c>
      <c r="G14" s="23">
        <f>IF(AND(F14&gt;0, A14&lt;=loanMonths), F14*rMonthly, 0)</f>
        <v/>
      </c>
      <c r="H14" s="23">
        <f>IF(AND(F14&gt;0, A14&lt;=loanMonths), EMI, 0)</f>
        <v/>
      </c>
      <c r="I14" s="23">
        <f>IF(AND(F14&gt;0, A14&lt;=loanMonths), MAX(0, F14-MIN(EMI-G14, F14)), F14)</f>
        <v/>
      </c>
      <c r="J14" s="23">
        <f>K13</f>
        <v/>
      </c>
      <c r="K14" s="23">
        <f>J14*(1+mfMo)+H14-E14</f>
        <v/>
      </c>
      <c r="L14" s="23">
        <f>L13+E14</f>
        <v/>
      </c>
      <c r="M14" s="23">
        <f>M13+H14+MAX(0,-E14)</f>
        <v/>
      </c>
      <c r="N14" s="23">
        <f>N13+MAX(0,E14)</f>
        <v/>
      </c>
    </row>
    <row r="15">
      <c r="A15" s="24" t="n">
        <v>14</v>
      </c>
      <c r="B15" s="25">
        <f>propPrice*(1+monthlyAppn)^A15</f>
        <v/>
      </c>
      <c r="C15" s="25">
        <f>IF(A15&gt;=startRentalMonth, initRent*(1+monthlyRentInf)^(A15-1), 0)</f>
        <v/>
      </c>
      <c r="D15" s="25">
        <f>initMaint*(1+monthlyRentInf)^(A15-1)</f>
        <v/>
      </c>
      <c r="E15" s="25">
        <f>C15*(1-vacancyPct)-D15</f>
        <v/>
      </c>
      <c r="F15" s="25">
        <f>I14</f>
        <v/>
      </c>
      <c r="G15" s="25">
        <f>IF(AND(F15&gt;0, A15&lt;=loanMonths), F15*rMonthly, 0)</f>
        <v/>
      </c>
      <c r="H15" s="25">
        <f>IF(AND(F15&gt;0, A15&lt;=loanMonths), EMI, 0)</f>
        <v/>
      </c>
      <c r="I15" s="25">
        <f>IF(AND(F15&gt;0, A15&lt;=loanMonths), MAX(0, F15-MIN(EMI-G15, F15)), F15)</f>
        <v/>
      </c>
      <c r="J15" s="25">
        <f>K14</f>
        <v/>
      </c>
      <c r="K15" s="25">
        <f>J15*(1+mfMo)+H15-E15</f>
        <v/>
      </c>
      <c r="L15" s="25">
        <f>L14+E15</f>
        <v/>
      </c>
      <c r="M15" s="25">
        <f>M14+H15+MAX(0,-E15)</f>
        <v/>
      </c>
      <c r="N15" s="25">
        <f>N14+MAX(0,E15)</f>
        <v/>
      </c>
    </row>
    <row r="16">
      <c r="A16" s="22" t="n">
        <v>15</v>
      </c>
      <c r="B16" s="23">
        <f>propPrice*(1+monthlyAppn)^A16</f>
        <v/>
      </c>
      <c r="C16" s="23">
        <f>IF(A16&gt;=startRentalMonth, initRent*(1+monthlyRentInf)^(A16-1), 0)</f>
        <v/>
      </c>
      <c r="D16" s="23">
        <f>initMaint*(1+monthlyRentInf)^(A16-1)</f>
        <v/>
      </c>
      <c r="E16" s="23">
        <f>C16*(1-vacancyPct)-D16</f>
        <v/>
      </c>
      <c r="F16" s="23">
        <f>I15</f>
        <v/>
      </c>
      <c r="G16" s="23">
        <f>IF(AND(F16&gt;0, A16&lt;=loanMonths), F16*rMonthly, 0)</f>
        <v/>
      </c>
      <c r="H16" s="23">
        <f>IF(AND(F16&gt;0, A16&lt;=loanMonths), EMI, 0)</f>
        <v/>
      </c>
      <c r="I16" s="23">
        <f>IF(AND(F16&gt;0, A16&lt;=loanMonths), MAX(0, F16-MIN(EMI-G16, F16)), F16)</f>
        <v/>
      </c>
      <c r="J16" s="23">
        <f>K15</f>
        <v/>
      </c>
      <c r="K16" s="23">
        <f>J16*(1+mfMo)+H16-E16</f>
        <v/>
      </c>
      <c r="L16" s="23">
        <f>L15+E16</f>
        <v/>
      </c>
      <c r="M16" s="23">
        <f>M15+H16+MAX(0,-E16)</f>
        <v/>
      </c>
      <c r="N16" s="23">
        <f>N15+MAX(0,E16)</f>
        <v/>
      </c>
    </row>
    <row r="17">
      <c r="A17" s="24" t="n">
        <v>16</v>
      </c>
      <c r="B17" s="25">
        <f>propPrice*(1+monthlyAppn)^A17</f>
        <v/>
      </c>
      <c r="C17" s="25">
        <f>IF(A17&gt;=startRentalMonth, initRent*(1+monthlyRentInf)^(A17-1), 0)</f>
        <v/>
      </c>
      <c r="D17" s="25">
        <f>initMaint*(1+monthlyRentInf)^(A17-1)</f>
        <v/>
      </c>
      <c r="E17" s="25">
        <f>C17*(1-vacancyPct)-D17</f>
        <v/>
      </c>
      <c r="F17" s="25">
        <f>I16</f>
        <v/>
      </c>
      <c r="G17" s="25">
        <f>IF(AND(F17&gt;0, A17&lt;=loanMonths), F17*rMonthly, 0)</f>
        <v/>
      </c>
      <c r="H17" s="25">
        <f>IF(AND(F17&gt;0, A17&lt;=loanMonths), EMI, 0)</f>
        <v/>
      </c>
      <c r="I17" s="25">
        <f>IF(AND(F17&gt;0, A17&lt;=loanMonths), MAX(0, F17-MIN(EMI-G17, F17)), F17)</f>
        <v/>
      </c>
      <c r="J17" s="25">
        <f>K16</f>
        <v/>
      </c>
      <c r="K17" s="25">
        <f>J17*(1+mfMo)+H17-E17</f>
        <v/>
      </c>
      <c r="L17" s="25">
        <f>L16+E17</f>
        <v/>
      </c>
      <c r="M17" s="25">
        <f>M16+H17+MAX(0,-E17)</f>
        <v/>
      </c>
      <c r="N17" s="25">
        <f>N16+MAX(0,E17)</f>
        <v/>
      </c>
    </row>
    <row r="18">
      <c r="A18" s="22" t="n">
        <v>17</v>
      </c>
      <c r="B18" s="23">
        <f>propPrice*(1+monthlyAppn)^A18</f>
        <v/>
      </c>
      <c r="C18" s="23">
        <f>IF(A18&gt;=startRentalMonth, initRent*(1+monthlyRentInf)^(A18-1), 0)</f>
        <v/>
      </c>
      <c r="D18" s="23">
        <f>initMaint*(1+monthlyRentInf)^(A18-1)</f>
        <v/>
      </c>
      <c r="E18" s="23">
        <f>C18*(1-vacancyPct)-D18</f>
        <v/>
      </c>
      <c r="F18" s="23">
        <f>I17</f>
        <v/>
      </c>
      <c r="G18" s="23">
        <f>IF(AND(F18&gt;0, A18&lt;=loanMonths), F18*rMonthly, 0)</f>
        <v/>
      </c>
      <c r="H18" s="23">
        <f>IF(AND(F18&gt;0, A18&lt;=loanMonths), EMI, 0)</f>
        <v/>
      </c>
      <c r="I18" s="23">
        <f>IF(AND(F18&gt;0, A18&lt;=loanMonths), MAX(0, F18-MIN(EMI-G18, F18)), F18)</f>
        <v/>
      </c>
      <c r="J18" s="23">
        <f>K17</f>
        <v/>
      </c>
      <c r="K18" s="23">
        <f>J18*(1+mfMo)+H18-E18</f>
        <v/>
      </c>
      <c r="L18" s="23">
        <f>L17+E18</f>
        <v/>
      </c>
      <c r="M18" s="23">
        <f>M17+H18+MAX(0,-E18)</f>
        <v/>
      </c>
      <c r="N18" s="23">
        <f>N17+MAX(0,E18)</f>
        <v/>
      </c>
    </row>
    <row r="19">
      <c r="A19" s="24" t="n">
        <v>18</v>
      </c>
      <c r="B19" s="25">
        <f>propPrice*(1+monthlyAppn)^A19</f>
        <v/>
      </c>
      <c r="C19" s="25">
        <f>IF(A19&gt;=startRentalMonth, initRent*(1+monthlyRentInf)^(A19-1), 0)</f>
        <v/>
      </c>
      <c r="D19" s="25">
        <f>initMaint*(1+monthlyRentInf)^(A19-1)</f>
        <v/>
      </c>
      <c r="E19" s="25">
        <f>C19*(1-vacancyPct)-D19</f>
        <v/>
      </c>
      <c r="F19" s="25">
        <f>I18</f>
        <v/>
      </c>
      <c r="G19" s="25">
        <f>IF(AND(F19&gt;0, A19&lt;=loanMonths), F19*rMonthly, 0)</f>
        <v/>
      </c>
      <c r="H19" s="25">
        <f>IF(AND(F19&gt;0, A19&lt;=loanMonths), EMI, 0)</f>
        <v/>
      </c>
      <c r="I19" s="25">
        <f>IF(AND(F19&gt;0, A19&lt;=loanMonths), MAX(0, F19-MIN(EMI-G19, F19)), F19)</f>
        <v/>
      </c>
      <c r="J19" s="25">
        <f>K18</f>
        <v/>
      </c>
      <c r="K19" s="25">
        <f>J19*(1+mfMo)+H19-E19</f>
        <v/>
      </c>
      <c r="L19" s="25">
        <f>L18+E19</f>
        <v/>
      </c>
      <c r="M19" s="25">
        <f>M18+H19+MAX(0,-E19)</f>
        <v/>
      </c>
      <c r="N19" s="25">
        <f>N18+MAX(0,E19)</f>
        <v/>
      </c>
    </row>
    <row r="20">
      <c r="A20" s="22" t="n">
        <v>19</v>
      </c>
      <c r="B20" s="23">
        <f>propPrice*(1+monthlyAppn)^A20</f>
        <v/>
      </c>
      <c r="C20" s="23">
        <f>IF(A20&gt;=startRentalMonth, initRent*(1+monthlyRentInf)^(A20-1), 0)</f>
        <v/>
      </c>
      <c r="D20" s="23">
        <f>initMaint*(1+monthlyRentInf)^(A20-1)</f>
        <v/>
      </c>
      <c r="E20" s="23">
        <f>C20*(1-vacancyPct)-D20</f>
        <v/>
      </c>
      <c r="F20" s="23">
        <f>I19</f>
        <v/>
      </c>
      <c r="G20" s="23">
        <f>IF(AND(F20&gt;0, A20&lt;=loanMonths), F20*rMonthly, 0)</f>
        <v/>
      </c>
      <c r="H20" s="23">
        <f>IF(AND(F20&gt;0, A20&lt;=loanMonths), EMI, 0)</f>
        <v/>
      </c>
      <c r="I20" s="23">
        <f>IF(AND(F20&gt;0, A20&lt;=loanMonths), MAX(0, F20-MIN(EMI-G20, F20)), F20)</f>
        <v/>
      </c>
      <c r="J20" s="23">
        <f>K19</f>
        <v/>
      </c>
      <c r="K20" s="23">
        <f>J20*(1+mfMo)+H20-E20</f>
        <v/>
      </c>
      <c r="L20" s="23">
        <f>L19+E20</f>
        <v/>
      </c>
      <c r="M20" s="23">
        <f>M19+H20+MAX(0,-E20)</f>
        <v/>
      </c>
      <c r="N20" s="23">
        <f>N19+MAX(0,E20)</f>
        <v/>
      </c>
    </row>
    <row r="21">
      <c r="A21" s="24" t="n">
        <v>20</v>
      </c>
      <c r="B21" s="25">
        <f>propPrice*(1+monthlyAppn)^A21</f>
        <v/>
      </c>
      <c r="C21" s="25">
        <f>IF(A21&gt;=startRentalMonth, initRent*(1+monthlyRentInf)^(A21-1), 0)</f>
        <v/>
      </c>
      <c r="D21" s="25">
        <f>initMaint*(1+monthlyRentInf)^(A21-1)</f>
        <v/>
      </c>
      <c r="E21" s="25">
        <f>C21*(1-vacancyPct)-D21</f>
        <v/>
      </c>
      <c r="F21" s="25">
        <f>I20</f>
        <v/>
      </c>
      <c r="G21" s="25">
        <f>IF(AND(F21&gt;0, A21&lt;=loanMonths), F21*rMonthly, 0)</f>
        <v/>
      </c>
      <c r="H21" s="25">
        <f>IF(AND(F21&gt;0, A21&lt;=loanMonths), EMI, 0)</f>
        <v/>
      </c>
      <c r="I21" s="25">
        <f>IF(AND(F21&gt;0, A21&lt;=loanMonths), MAX(0, F21-MIN(EMI-G21, F21)), F21)</f>
        <v/>
      </c>
      <c r="J21" s="25">
        <f>K20</f>
        <v/>
      </c>
      <c r="K21" s="25">
        <f>J21*(1+mfMo)+H21-E21</f>
        <v/>
      </c>
      <c r="L21" s="25">
        <f>L20+E21</f>
        <v/>
      </c>
      <c r="M21" s="25">
        <f>M20+H21+MAX(0,-E21)</f>
        <v/>
      </c>
      <c r="N21" s="25">
        <f>N20+MAX(0,E21)</f>
        <v/>
      </c>
    </row>
    <row r="22">
      <c r="A22" s="22" t="n">
        <v>21</v>
      </c>
      <c r="B22" s="23">
        <f>propPrice*(1+monthlyAppn)^A22</f>
        <v/>
      </c>
      <c r="C22" s="23">
        <f>IF(A22&gt;=startRentalMonth, initRent*(1+monthlyRentInf)^(A22-1), 0)</f>
        <v/>
      </c>
      <c r="D22" s="23">
        <f>initMaint*(1+monthlyRentInf)^(A22-1)</f>
        <v/>
      </c>
      <c r="E22" s="23">
        <f>C22*(1-vacancyPct)-D22</f>
        <v/>
      </c>
      <c r="F22" s="23">
        <f>I21</f>
        <v/>
      </c>
      <c r="G22" s="23">
        <f>IF(AND(F22&gt;0, A22&lt;=loanMonths), F22*rMonthly, 0)</f>
        <v/>
      </c>
      <c r="H22" s="23">
        <f>IF(AND(F22&gt;0, A22&lt;=loanMonths), EMI, 0)</f>
        <v/>
      </c>
      <c r="I22" s="23">
        <f>IF(AND(F22&gt;0, A22&lt;=loanMonths), MAX(0, F22-MIN(EMI-G22, F22)), F22)</f>
        <v/>
      </c>
      <c r="J22" s="23">
        <f>K21</f>
        <v/>
      </c>
      <c r="K22" s="23">
        <f>J22*(1+mfMo)+H22-E22</f>
        <v/>
      </c>
      <c r="L22" s="23">
        <f>L21+E22</f>
        <v/>
      </c>
      <c r="M22" s="23">
        <f>M21+H22+MAX(0,-E22)</f>
        <v/>
      </c>
      <c r="N22" s="23">
        <f>N21+MAX(0,E22)</f>
        <v/>
      </c>
    </row>
    <row r="23">
      <c r="A23" s="24" t="n">
        <v>22</v>
      </c>
      <c r="B23" s="25">
        <f>propPrice*(1+monthlyAppn)^A23</f>
        <v/>
      </c>
      <c r="C23" s="25">
        <f>IF(A23&gt;=startRentalMonth, initRent*(1+monthlyRentInf)^(A23-1), 0)</f>
        <v/>
      </c>
      <c r="D23" s="25">
        <f>initMaint*(1+monthlyRentInf)^(A23-1)</f>
        <v/>
      </c>
      <c r="E23" s="25">
        <f>C23*(1-vacancyPct)-D23</f>
        <v/>
      </c>
      <c r="F23" s="25">
        <f>I22</f>
        <v/>
      </c>
      <c r="G23" s="25">
        <f>IF(AND(F23&gt;0, A23&lt;=loanMonths), F23*rMonthly, 0)</f>
        <v/>
      </c>
      <c r="H23" s="25">
        <f>IF(AND(F23&gt;0, A23&lt;=loanMonths), EMI, 0)</f>
        <v/>
      </c>
      <c r="I23" s="25">
        <f>IF(AND(F23&gt;0, A23&lt;=loanMonths), MAX(0, F23-MIN(EMI-G23, F23)), F23)</f>
        <v/>
      </c>
      <c r="J23" s="25">
        <f>K22</f>
        <v/>
      </c>
      <c r="K23" s="25">
        <f>J23*(1+mfMo)+H23-E23</f>
        <v/>
      </c>
      <c r="L23" s="25">
        <f>L22+E23</f>
        <v/>
      </c>
      <c r="M23" s="25">
        <f>M22+H23+MAX(0,-E23)</f>
        <v/>
      </c>
      <c r="N23" s="25">
        <f>N22+MAX(0,E23)</f>
        <v/>
      </c>
    </row>
    <row r="24">
      <c r="A24" s="22" t="n">
        <v>23</v>
      </c>
      <c r="B24" s="23">
        <f>propPrice*(1+monthlyAppn)^A24</f>
        <v/>
      </c>
      <c r="C24" s="23">
        <f>IF(A24&gt;=startRentalMonth, initRent*(1+monthlyRentInf)^(A24-1), 0)</f>
        <v/>
      </c>
      <c r="D24" s="23">
        <f>initMaint*(1+monthlyRentInf)^(A24-1)</f>
        <v/>
      </c>
      <c r="E24" s="23">
        <f>C24*(1-vacancyPct)-D24</f>
        <v/>
      </c>
      <c r="F24" s="23">
        <f>I23</f>
        <v/>
      </c>
      <c r="G24" s="23">
        <f>IF(AND(F24&gt;0, A24&lt;=loanMonths), F24*rMonthly, 0)</f>
        <v/>
      </c>
      <c r="H24" s="23">
        <f>IF(AND(F24&gt;0, A24&lt;=loanMonths), EMI, 0)</f>
        <v/>
      </c>
      <c r="I24" s="23">
        <f>IF(AND(F24&gt;0, A24&lt;=loanMonths), MAX(0, F24-MIN(EMI-G24, F24)), F24)</f>
        <v/>
      </c>
      <c r="J24" s="23">
        <f>K23</f>
        <v/>
      </c>
      <c r="K24" s="23">
        <f>J24*(1+mfMo)+H24-E24</f>
        <v/>
      </c>
      <c r="L24" s="23">
        <f>L23+E24</f>
        <v/>
      </c>
      <c r="M24" s="23">
        <f>M23+H24+MAX(0,-E24)</f>
        <v/>
      </c>
      <c r="N24" s="23">
        <f>N23+MAX(0,E24)</f>
        <v/>
      </c>
    </row>
    <row r="25">
      <c r="A25" s="24" t="n">
        <v>24</v>
      </c>
      <c r="B25" s="25">
        <f>propPrice*(1+monthlyAppn)^A25</f>
        <v/>
      </c>
      <c r="C25" s="25">
        <f>IF(A25&gt;=startRentalMonth, initRent*(1+monthlyRentInf)^(A25-1), 0)</f>
        <v/>
      </c>
      <c r="D25" s="25">
        <f>initMaint*(1+monthlyRentInf)^(A25-1)</f>
        <v/>
      </c>
      <c r="E25" s="25">
        <f>C25*(1-vacancyPct)-D25</f>
        <v/>
      </c>
      <c r="F25" s="25">
        <f>I24</f>
        <v/>
      </c>
      <c r="G25" s="25">
        <f>IF(AND(F25&gt;0, A25&lt;=loanMonths), F25*rMonthly, 0)</f>
        <v/>
      </c>
      <c r="H25" s="25">
        <f>IF(AND(F25&gt;0, A25&lt;=loanMonths), EMI, 0)</f>
        <v/>
      </c>
      <c r="I25" s="25">
        <f>IF(AND(F25&gt;0, A25&lt;=loanMonths), MAX(0, F25-MIN(EMI-G25, F25)), F25)</f>
        <v/>
      </c>
      <c r="J25" s="25">
        <f>K24</f>
        <v/>
      </c>
      <c r="K25" s="25">
        <f>J25*(1+mfMo)+H25-E25</f>
        <v/>
      </c>
      <c r="L25" s="25">
        <f>L24+E25</f>
        <v/>
      </c>
      <c r="M25" s="25">
        <f>M24+H25+MAX(0,-E25)</f>
        <v/>
      </c>
      <c r="N25" s="25">
        <f>N24+MAX(0,E25)</f>
        <v/>
      </c>
    </row>
    <row r="26">
      <c r="A26" s="22" t="n">
        <v>25</v>
      </c>
      <c r="B26" s="23">
        <f>propPrice*(1+monthlyAppn)^A26</f>
        <v/>
      </c>
      <c r="C26" s="23">
        <f>IF(A26&gt;=startRentalMonth, initRent*(1+monthlyRentInf)^(A26-1), 0)</f>
        <v/>
      </c>
      <c r="D26" s="23">
        <f>initMaint*(1+monthlyRentInf)^(A26-1)</f>
        <v/>
      </c>
      <c r="E26" s="23">
        <f>C26*(1-vacancyPct)-D26</f>
        <v/>
      </c>
      <c r="F26" s="23">
        <f>I25</f>
        <v/>
      </c>
      <c r="G26" s="23">
        <f>IF(AND(F26&gt;0, A26&lt;=loanMonths), F26*rMonthly, 0)</f>
        <v/>
      </c>
      <c r="H26" s="23">
        <f>IF(AND(F26&gt;0, A26&lt;=loanMonths), EMI, 0)</f>
        <v/>
      </c>
      <c r="I26" s="23">
        <f>IF(AND(F26&gt;0, A26&lt;=loanMonths), MAX(0, F26-MIN(EMI-G26, F26)), F26)</f>
        <v/>
      </c>
      <c r="J26" s="23">
        <f>K25</f>
        <v/>
      </c>
      <c r="K26" s="23">
        <f>J26*(1+mfMo)+H26-E26</f>
        <v/>
      </c>
      <c r="L26" s="23">
        <f>L25+E26</f>
        <v/>
      </c>
      <c r="M26" s="23">
        <f>M25+H26+MAX(0,-E26)</f>
        <v/>
      </c>
      <c r="N26" s="23">
        <f>N25+MAX(0,E26)</f>
        <v/>
      </c>
    </row>
    <row r="27">
      <c r="A27" s="24" t="n">
        <v>26</v>
      </c>
      <c r="B27" s="25">
        <f>propPrice*(1+monthlyAppn)^A27</f>
        <v/>
      </c>
      <c r="C27" s="25">
        <f>IF(A27&gt;=startRentalMonth, initRent*(1+monthlyRentInf)^(A27-1), 0)</f>
        <v/>
      </c>
      <c r="D27" s="25">
        <f>initMaint*(1+monthlyRentInf)^(A27-1)</f>
        <v/>
      </c>
      <c r="E27" s="25">
        <f>C27*(1-vacancyPct)-D27</f>
        <v/>
      </c>
      <c r="F27" s="25">
        <f>I26</f>
        <v/>
      </c>
      <c r="G27" s="25">
        <f>IF(AND(F27&gt;0, A27&lt;=loanMonths), F27*rMonthly, 0)</f>
        <v/>
      </c>
      <c r="H27" s="25">
        <f>IF(AND(F27&gt;0, A27&lt;=loanMonths), EMI, 0)</f>
        <v/>
      </c>
      <c r="I27" s="25">
        <f>IF(AND(F27&gt;0, A27&lt;=loanMonths), MAX(0, F27-MIN(EMI-G27, F27)), F27)</f>
        <v/>
      </c>
      <c r="J27" s="25">
        <f>K26</f>
        <v/>
      </c>
      <c r="K27" s="25">
        <f>J27*(1+mfMo)+H27-E27</f>
        <v/>
      </c>
      <c r="L27" s="25">
        <f>L26+E27</f>
        <v/>
      </c>
      <c r="M27" s="25">
        <f>M26+H27+MAX(0,-E27)</f>
        <v/>
      </c>
      <c r="N27" s="25">
        <f>N26+MAX(0,E27)</f>
        <v/>
      </c>
    </row>
    <row r="28">
      <c r="A28" s="22" t="n">
        <v>27</v>
      </c>
      <c r="B28" s="23">
        <f>propPrice*(1+monthlyAppn)^A28</f>
        <v/>
      </c>
      <c r="C28" s="23">
        <f>IF(A28&gt;=startRentalMonth, initRent*(1+monthlyRentInf)^(A28-1), 0)</f>
        <v/>
      </c>
      <c r="D28" s="23">
        <f>initMaint*(1+monthlyRentInf)^(A28-1)</f>
        <v/>
      </c>
      <c r="E28" s="23">
        <f>C28*(1-vacancyPct)-D28</f>
        <v/>
      </c>
      <c r="F28" s="23">
        <f>I27</f>
        <v/>
      </c>
      <c r="G28" s="23">
        <f>IF(AND(F28&gt;0, A28&lt;=loanMonths), F28*rMonthly, 0)</f>
        <v/>
      </c>
      <c r="H28" s="23">
        <f>IF(AND(F28&gt;0, A28&lt;=loanMonths), EMI, 0)</f>
        <v/>
      </c>
      <c r="I28" s="23">
        <f>IF(AND(F28&gt;0, A28&lt;=loanMonths), MAX(0, F28-MIN(EMI-G28, F28)), F28)</f>
        <v/>
      </c>
      <c r="J28" s="23">
        <f>K27</f>
        <v/>
      </c>
      <c r="K28" s="23">
        <f>J28*(1+mfMo)+H28-E28</f>
        <v/>
      </c>
      <c r="L28" s="23">
        <f>L27+E28</f>
        <v/>
      </c>
      <c r="M28" s="23">
        <f>M27+H28+MAX(0,-E28)</f>
        <v/>
      </c>
      <c r="N28" s="23">
        <f>N27+MAX(0,E28)</f>
        <v/>
      </c>
    </row>
    <row r="29">
      <c r="A29" s="24" t="n">
        <v>28</v>
      </c>
      <c r="B29" s="25">
        <f>propPrice*(1+monthlyAppn)^A29</f>
        <v/>
      </c>
      <c r="C29" s="25">
        <f>IF(A29&gt;=startRentalMonth, initRent*(1+monthlyRentInf)^(A29-1), 0)</f>
        <v/>
      </c>
      <c r="D29" s="25">
        <f>initMaint*(1+monthlyRentInf)^(A29-1)</f>
        <v/>
      </c>
      <c r="E29" s="25">
        <f>C29*(1-vacancyPct)-D29</f>
        <v/>
      </c>
      <c r="F29" s="25">
        <f>I28</f>
        <v/>
      </c>
      <c r="G29" s="25">
        <f>IF(AND(F29&gt;0, A29&lt;=loanMonths), F29*rMonthly, 0)</f>
        <v/>
      </c>
      <c r="H29" s="25">
        <f>IF(AND(F29&gt;0, A29&lt;=loanMonths), EMI, 0)</f>
        <v/>
      </c>
      <c r="I29" s="25">
        <f>IF(AND(F29&gt;0, A29&lt;=loanMonths), MAX(0, F29-MIN(EMI-G29, F29)), F29)</f>
        <v/>
      </c>
      <c r="J29" s="25">
        <f>K28</f>
        <v/>
      </c>
      <c r="K29" s="25">
        <f>J29*(1+mfMo)+H29-E29</f>
        <v/>
      </c>
      <c r="L29" s="25">
        <f>L28+E29</f>
        <v/>
      </c>
      <c r="M29" s="25">
        <f>M28+H29+MAX(0,-E29)</f>
        <v/>
      </c>
      <c r="N29" s="25">
        <f>N28+MAX(0,E29)</f>
        <v/>
      </c>
    </row>
    <row r="30">
      <c r="A30" s="22" t="n">
        <v>29</v>
      </c>
      <c r="B30" s="23">
        <f>propPrice*(1+monthlyAppn)^A30</f>
        <v/>
      </c>
      <c r="C30" s="23">
        <f>IF(A30&gt;=startRentalMonth, initRent*(1+monthlyRentInf)^(A30-1), 0)</f>
        <v/>
      </c>
      <c r="D30" s="23">
        <f>initMaint*(1+monthlyRentInf)^(A30-1)</f>
        <v/>
      </c>
      <c r="E30" s="23">
        <f>C30*(1-vacancyPct)-D30</f>
        <v/>
      </c>
      <c r="F30" s="23">
        <f>I29</f>
        <v/>
      </c>
      <c r="G30" s="23">
        <f>IF(AND(F30&gt;0, A30&lt;=loanMonths), F30*rMonthly, 0)</f>
        <v/>
      </c>
      <c r="H30" s="23">
        <f>IF(AND(F30&gt;0, A30&lt;=loanMonths), EMI, 0)</f>
        <v/>
      </c>
      <c r="I30" s="23">
        <f>IF(AND(F30&gt;0, A30&lt;=loanMonths), MAX(0, F30-MIN(EMI-G30, F30)), F30)</f>
        <v/>
      </c>
      <c r="J30" s="23">
        <f>K29</f>
        <v/>
      </c>
      <c r="K30" s="23">
        <f>J30*(1+mfMo)+H30-E30</f>
        <v/>
      </c>
      <c r="L30" s="23">
        <f>L29+E30</f>
        <v/>
      </c>
      <c r="M30" s="23">
        <f>M29+H30+MAX(0,-E30)</f>
        <v/>
      </c>
      <c r="N30" s="23">
        <f>N29+MAX(0,E30)</f>
        <v/>
      </c>
    </row>
    <row r="31">
      <c r="A31" s="24" t="n">
        <v>30</v>
      </c>
      <c r="B31" s="25">
        <f>propPrice*(1+monthlyAppn)^A31</f>
        <v/>
      </c>
      <c r="C31" s="25">
        <f>IF(A31&gt;=startRentalMonth, initRent*(1+monthlyRentInf)^(A31-1), 0)</f>
        <v/>
      </c>
      <c r="D31" s="25">
        <f>initMaint*(1+monthlyRentInf)^(A31-1)</f>
        <v/>
      </c>
      <c r="E31" s="25">
        <f>C31*(1-vacancyPct)-D31</f>
        <v/>
      </c>
      <c r="F31" s="25">
        <f>I30</f>
        <v/>
      </c>
      <c r="G31" s="25">
        <f>IF(AND(F31&gt;0, A31&lt;=loanMonths), F31*rMonthly, 0)</f>
        <v/>
      </c>
      <c r="H31" s="25">
        <f>IF(AND(F31&gt;0, A31&lt;=loanMonths), EMI, 0)</f>
        <v/>
      </c>
      <c r="I31" s="25">
        <f>IF(AND(F31&gt;0, A31&lt;=loanMonths), MAX(0, F31-MIN(EMI-G31, F31)), F31)</f>
        <v/>
      </c>
      <c r="J31" s="25">
        <f>K30</f>
        <v/>
      </c>
      <c r="K31" s="25">
        <f>J31*(1+mfMo)+H31-E31</f>
        <v/>
      </c>
      <c r="L31" s="25">
        <f>L30+E31</f>
        <v/>
      </c>
      <c r="M31" s="25">
        <f>M30+H31+MAX(0,-E31)</f>
        <v/>
      </c>
      <c r="N31" s="25">
        <f>N30+MAX(0,E31)</f>
        <v/>
      </c>
    </row>
    <row r="32">
      <c r="A32" s="22" t="n">
        <v>31</v>
      </c>
      <c r="B32" s="23">
        <f>propPrice*(1+monthlyAppn)^A32</f>
        <v/>
      </c>
      <c r="C32" s="23">
        <f>IF(A32&gt;=startRentalMonth, initRent*(1+monthlyRentInf)^(A32-1), 0)</f>
        <v/>
      </c>
      <c r="D32" s="23">
        <f>initMaint*(1+monthlyRentInf)^(A32-1)</f>
        <v/>
      </c>
      <c r="E32" s="23">
        <f>C32*(1-vacancyPct)-D32</f>
        <v/>
      </c>
      <c r="F32" s="23">
        <f>I31</f>
        <v/>
      </c>
      <c r="G32" s="23">
        <f>IF(AND(F32&gt;0, A32&lt;=loanMonths), F32*rMonthly, 0)</f>
        <v/>
      </c>
      <c r="H32" s="23">
        <f>IF(AND(F32&gt;0, A32&lt;=loanMonths), EMI, 0)</f>
        <v/>
      </c>
      <c r="I32" s="23">
        <f>IF(AND(F32&gt;0, A32&lt;=loanMonths), MAX(0, F32-MIN(EMI-G32, F32)), F32)</f>
        <v/>
      </c>
      <c r="J32" s="23">
        <f>K31</f>
        <v/>
      </c>
      <c r="K32" s="23">
        <f>J32*(1+mfMo)+H32-E32</f>
        <v/>
      </c>
      <c r="L32" s="23">
        <f>L31+E32</f>
        <v/>
      </c>
      <c r="M32" s="23">
        <f>M31+H32+MAX(0,-E32)</f>
        <v/>
      </c>
      <c r="N32" s="23">
        <f>N31+MAX(0,E32)</f>
        <v/>
      </c>
    </row>
    <row r="33">
      <c r="A33" s="24" t="n">
        <v>32</v>
      </c>
      <c r="B33" s="25">
        <f>propPrice*(1+monthlyAppn)^A33</f>
        <v/>
      </c>
      <c r="C33" s="25">
        <f>IF(A33&gt;=startRentalMonth, initRent*(1+monthlyRentInf)^(A33-1), 0)</f>
        <v/>
      </c>
      <c r="D33" s="25">
        <f>initMaint*(1+monthlyRentInf)^(A33-1)</f>
        <v/>
      </c>
      <c r="E33" s="25">
        <f>C33*(1-vacancyPct)-D33</f>
        <v/>
      </c>
      <c r="F33" s="25">
        <f>I32</f>
        <v/>
      </c>
      <c r="G33" s="25">
        <f>IF(AND(F33&gt;0, A33&lt;=loanMonths), F33*rMonthly, 0)</f>
        <v/>
      </c>
      <c r="H33" s="25">
        <f>IF(AND(F33&gt;0, A33&lt;=loanMonths), EMI, 0)</f>
        <v/>
      </c>
      <c r="I33" s="25">
        <f>IF(AND(F33&gt;0, A33&lt;=loanMonths), MAX(0, F33-MIN(EMI-G33, F33)), F33)</f>
        <v/>
      </c>
      <c r="J33" s="25">
        <f>K32</f>
        <v/>
      </c>
      <c r="K33" s="25">
        <f>J33*(1+mfMo)+H33-E33</f>
        <v/>
      </c>
      <c r="L33" s="25">
        <f>L32+E33</f>
        <v/>
      </c>
      <c r="M33" s="25">
        <f>M32+H33+MAX(0,-E33)</f>
        <v/>
      </c>
      <c r="N33" s="25">
        <f>N32+MAX(0,E33)</f>
        <v/>
      </c>
    </row>
    <row r="34">
      <c r="A34" s="22" t="n">
        <v>33</v>
      </c>
      <c r="B34" s="23">
        <f>propPrice*(1+monthlyAppn)^A34</f>
        <v/>
      </c>
      <c r="C34" s="23">
        <f>IF(A34&gt;=startRentalMonth, initRent*(1+monthlyRentInf)^(A34-1), 0)</f>
        <v/>
      </c>
      <c r="D34" s="23">
        <f>initMaint*(1+monthlyRentInf)^(A34-1)</f>
        <v/>
      </c>
      <c r="E34" s="23">
        <f>C34*(1-vacancyPct)-D34</f>
        <v/>
      </c>
      <c r="F34" s="23">
        <f>I33</f>
        <v/>
      </c>
      <c r="G34" s="23">
        <f>IF(AND(F34&gt;0, A34&lt;=loanMonths), F34*rMonthly, 0)</f>
        <v/>
      </c>
      <c r="H34" s="23">
        <f>IF(AND(F34&gt;0, A34&lt;=loanMonths), EMI, 0)</f>
        <v/>
      </c>
      <c r="I34" s="23">
        <f>IF(AND(F34&gt;0, A34&lt;=loanMonths), MAX(0, F34-MIN(EMI-G34, F34)), F34)</f>
        <v/>
      </c>
      <c r="J34" s="23">
        <f>K33</f>
        <v/>
      </c>
      <c r="K34" s="23">
        <f>J34*(1+mfMo)+H34-E34</f>
        <v/>
      </c>
      <c r="L34" s="23">
        <f>L33+E34</f>
        <v/>
      </c>
      <c r="M34" s="23">
        <f>M33+H34+MAX(0,-E34)</f>
        <v/>
      </c>
      <c r="N34" s="23">
        <f>N33+MAX(0,E34)</f>
        <v/>
      </c>
    </row>
    <row r="35">
      <c r="A35" s="24" t="n">
        <v>34</v>
      </c>
      <c r="B35" s="25">
        <f>propPrice*(1+monthlyAppn)^A35</f>
        <v/>
      </c>
      <c r="C35" s="25">
        <f>IF(A35&gt;=startRentalMonth, initRent*(1+monthlyRentInf)^(A35-1), 0)</f>
        <v/>
      </c>
      <c r="D35" s="25">
        <f>initMaint*(1+monthlyRentInf)^(A35-1)</f>
        <v/>
      </c>
      <c r="E35" s="25">
        <f>C35*(1-vacancyPct)-D35</f>
        <v/>
      </c>
      <c r="F35" s="25">
        <f>I34</f>
        <v/>
      </c>
      <c r="G35" s="25">
        <f>IF(AND(F35&gt;0, A35&lt;=loanMonths), F35*rMonthly, 0)</f>
        <v/>
      </c>
      <c r="H35" s="25">
        <f>IF(AND(F35&gt;0, A35&lt;=loanMonths), EMI, 0)</f>
        <v/>
      </c>
      <c r="I35" s="25">
        <f>IF(AND(F35&gt;0, A35&lt;=loanMonths), MAX(0, F35-MIN(EMI-G35, F35)), F35)</f>
        <v/>
      </c>
      <c r="J35" s="25">
        <f>K34</f>
        <v/>
      </c>
      <c r="K35" s="25">
        <f>J35*(1+mfMo)+H35-E35</f>
        <v/>
      </c>
      <c r="L35" s="25">
        <f>L34+E35</f>
        <v/>
      </c>
      <c r="M35" s="25">
        <f>M34+H35+MAX(0,-E35)</f>
        <v/>
      </c>
      <c r="N35" s="25">
        <f>N34+MAX(0,E35)</f>
        <v/>
      </c>
    </row>
    <row r="36">
      <c r="A36" s="22" t="n">
        <v>35</v>
      </c>
      <c r="B36" s="23">
        <f>propPrice*(1+monthlyAppn)^A36</f>
        <v/>
      </c>
      <c r="C36" s="23">
        <f>IF(A36&gt;=startRentalMonth, initRent*(1+monthlyRentInf)^(A36-1), 0)</f>
        <v/>
      </c>
      <c r="D36" s="23">
        <f>initMaint*(1+monthlyRentInf)^(A36-1)</f>
        <v/>
      </c>
      <c r="E36" s="23">
        <f>C36*(1-vacancyPct)-D36</f>
        <v/>
      </c>
      <c r="F36" s="23">
        <f>I35</f>
        <v/>
      </c>
      <c r="G36" s="23">
        <f>IF(AND(F36&gt;0, A36&lt;=loanMonths), F36*rMonthly, 0)</f>
        <v/>
      </c>
      <c r="H36" s="23">
        <f>IF(AND(F36&gt;0, A36&lt;=loanMonths), EMI, 0)</f>
        <v/>
      </c>
      <c r="I36" s="23">
        <f>IF(AND(F36&gt;0, A36&lt;=loanMonths), MAX(0, F36-MIN(EMI-G36, F36)), F36)</f>
        <v/>
      </c>
      <c r="J36" s="23">
        <f>K35</f>
        <v/>
      </c>
      <c r="K36" s="23">
        <f>J36*(1+mfMo)+H36-E36</f>
        <v/>
      </c>
      <c r="L36" s="23">
        <f>L35+E36</f>
        <v/>
      </c>
      <c r="M36" s="23">
        <f>M35+H36+MAX(0,-E36)</f>
        <v/>
      </c>
      <c r="N36" s="23">
        <f>N35+MAX(0,E36)</f>
        <v/>
      </c>
    </row>
    <row r="37">
      <c r="A37" s="24" t="n">
        <v>36</v>
      </c>
      <c r="B37" s="25">
        <f>propPrice*(1+monthlyAppn)^A37</f>
        <v/>
      </c>
      <c r="C37" s="25">
        <f>IF(A37&gt;=startRentalMonth, initRent*(1+monthlyRentInf)^(A37-1), 0)</f>
        <v/>
      </c>
      <c r="D37" s="25">
        <f>initMaint*(1+monthlyRentInf)^(A37-1)</f>
        <v/>
      </c>
      <c r="E37" s="25">
        <f>C37*(1-vacancyPct)-D37</f>
        <v/>
      </c>
      <c r="F37" s="25">
        <f>I36</f>
        <v/>
      </c>
      <c r="G37" s="25">
        <f>IF(AND(F37&gt;0, A37&lt;=loanMonths), F37*rMonthly, 0)</f>
        <v/>
      </c>
      <c r="H37" s="25">
        <f>IF(AND(F37&gt;0, A37&lt;=loanMonths), EMI, 0)</f>
        <v/>
      </c>
      <c r="I37" s="25">
        <f>IF(AND(F37&gt;0, A37&lt;=loanMonths), MAX(0, F37-MIN(EMI-G37, F37)), F37)</f>
        <v/>
      </c>
      <c r="J37" s="25">
        <f>K36</f>
        <v/>
      </c>
      <c r="K37" s="25">
        <f>J37*(1+mfMo)+H37-E37</f>
        <v/>
      </c>
      <c r="L37" s="25">
        <f>L36+E37</f>
        <v/>
      </c>
      <c r="M37" s="25">
        <f>M36+H37+MAX(0,-E37)</f>
        <v/>
      </c>
      <c r="N37" s="25">
        <f>N36+MAX(0,E37)</f>
        <v/>
      </c>
    </row>
    <row r="38">
      <c r="A38" s="22" t="n">
        <v>37</v>
      </c>
      <c r="B38" s="23">
        <f>propPrice*(1+monthlyAppn)^A38</f>
        <v/>
      </c>
      <c r="C38" s="23">
        <f>IF(A38&gt;=startRentalMonth, initRent*(1+monthlyRentInf)^(A38-1), 0)</f>
        <v/>
      </c>
      <c r="D38" s="23">
        <f>initMaint*(1+monthlyRentInf)^(A38-1)</f>
        <v/>
      </c>
      <c r="E38" s="23">
        <f>C38*(1-vacancyPct)-D38</f>
        <v/>
      </c>
      <c r="F38" s="23">
        <f>I37</f>
        <v/>
      </c>
      <c r="G38" s="23">
        <f>IF(AND(F38&gt;0, A38&lt;=loanMonths), F38*rMonthly, 0)</f>
        <v/>
      </c>
      <c r="H38" s="23">
        <f>IF(AND(F38&gt;0, A38&lt;=loanMonths), EMI, 0)</f>
        <v/>
      </c>
      <c r="I38" s="23">
        <f>IF(AND(F38&gt;0, A38&lt;=loanMonths), MAX(0, F38-MIN(EMI-G38, F38)), F38)</f>
        <v/>
      </c>
      <c r="J38" s="23">
        <f>K37</f>
        <v/>
      </c>
      <c r="K38" s="23">
        <f>J38*(1+mfMo)+H38-E38</f>
        <v/>
      </c>
      <c r="L38" s="23">
        <f>L37+E38</f>
        <v/>
      </c>
      <c r="M38" s="23">
        <f>M37+H38+MAX(0,-E38)</f>
        <v/>
      </c>
      <c r="N38" s="23">
        <f>N37+MAX(0,E38)</f>
        <v/>
      </c>
    </row>
    <row r="39">
      <c r="A39" s="24" t="n">
        <v>38</v>
      </c>
      <c r="B39" s="25">
        <f>propPrice*(1+monthlyAppn)^A39</f>
        <v/>
      </c>
      <c r="C39" s="25">
        <f>IF(A39&gt;=startRentalMonth, initRent*(1+monthlyRentInf)^(A39-1), 0)</f>
        <v/>
      </c>
      <c r="D39" s="25">
        <f>initMaint*(1+monthlyRentInf)^(A39-1)</f>
        <v/>
      </c>
      <c r="E39" s="25">
        <f>C39*(1-vacancyPct)-D39</f>
        <v/>
      </c>
      <c r="F39" s="25">
        <f>I38</f>
        <v/>
      </c>
      <c r="G39" s="25">
        <f>IF(AND(F39&gt;0, A39&lt;=loanMonths), F39*rMonthly, 0)</f>
        <v/>
      </c>
      <c r="H39" s="25">
        <f>IF(AND(F39&gt;0, A39&lt;=loanMonths), EMI, 0)</f>
        <v/>
      </c>
      <c r="I39" s="25">
        <f>IF(AND(F39&gt;0, A39&lt;=loanMonths), MAX(0, F39-MIN(EMI-G39, F39)), F39)</f>
        <v/>
      </c>
      <c r="J39" s="25">
        <f>K38</f>
        <v/>
      </c>
      <c r="K39" s="25">
        <f>J39*(1+mfMo)+H39-E39</f>
        <v/>
      </c>
      <c r="L39" s="25">
        <f>L38+E39</f>
        <v/>
      </c>
      <c r="M39" s="25">
        <f>M38+H39+MAX(0,-E39)</f>
        <v/>
      </c>
      <c r="N39" s="25">
        <f>N38+MAX(0,E39)</f>
        <v/>
      </c>
    </row>
    <row r="40">
      <c r="A40" s="22" t="n">
        <v>39</v>
      </c>
      <c r="B40" s="23">
        <f>propPrice*(1+monthlyAppn)^A40</f>
        <v/>
      </c>
      <c r="C40" s="23">
        <f>IF(A40&gt;=startRentalMonth, initRent*(1+monthlyRentInf)^(A40-1), 0)</f>
        <v/>
      </c>
      <c r="D40" s="23">
        <f>initMaint*(1+monthlyRentInf)^(A40-1)</f>
        <v/>
      </c>
      <c r="E40" s="23">
        <f>C40*(1-vacancyPct)-D40</f>
        <v/>
      </c>
      <c r="F40" s="23">
        <f>I39</f>
        <v/>
      </c>
      <c r="G40" s="23">
        <f>IF(AND(F40&gt;0, A40&lt;=loanMonths), F40*rMonthly, 0)</f>
        <v/>
      </c>
      <c r="H40" s="23">
        <f>IF(AND(F40&gt;0, A40&lt;=loanMonths), EMI, 0)</f>
        <v/>
      </c>
      <c r="I40" s="23">
        <f>IF(AND(F40&gt;0, A40&lt;=loanMonths), MAX(0, F40-MIN(EMI-G40, F40)), F40)</f>
        <v/>
      </c>
      <c r="J40" s="23">
        <f>K39</f>
        <v/>
      </c>
      <c r="K40" s="23">
        <f>J40*(1+mfMo)+H40-E40</f>
        <v/>
      </c>
      <c r="L40" s="23">
        <f>L39+E40</f>
        <v/>
      </c>
      <c r="M40" s="23">
        <f>M39+H40+MAX(0,-E40)</f>
        <v/>
      </c>
      <c r="N40" s="23">
        <f>N39+MAX(0,E40)</f>
        <v/>
      </c>
    </row>
    <row r="41">
      <c r="A41" s="24" t="n">
        <v>40</v>
      </c>
      <c r="B41" s="25">
        <f>propPrice*(1+monthlyAppn)^A41</f>
        <v/>
      </c>
      <c r="C41" s="25">
        <f>IF(A41&gt;=startRentalMonth, initRent*(1+monthlyRentInf)^(A41-1), 0)</f>
        <v/>
      </c>
      <c r="D41" s="25">
        <f>initMaint*(1+monthlyRentInf)^(A41-1)</f>
        <v/>
      </c>
      <c r="E41" s="25">
        <f>C41*(1-vacancyPct)-D41</f>
        <v/>
      </c>
      <c r="F41" s="25">
        <f>I40</f>
        <v/>
      </c>
      <c r="G41" s="25">
        <f>IF(AND(F41&gt;0, A41&lt;=loanMonths), F41*rMonthly, 0)</f>
        <v/>
      </c>
      <c r="H41" s="25">
        <f>IF(AND(F41&gt;0, A41&lt;=loanMonths), EMI, 0)</f>
        <v/>
      </c>
      <c r="I41" s="25">
        <f>IF(AND(F41&gt;0, A41&lt;=loanMonths), MAX(0, F41-MIN(EMI-G41, F41)), F41)</f>
        <v/>
      </c>
      <c r="J41" s="25">
        <f>K40</f>
        <v/>
      </c>
      <c r="K41" s="25">
        <f>J41*(1+mfMo)+H41-E41</f>
        <v/>
      </c>
      <c r="L41" s="25">
        <f>L40+E41</f>
        <v/>
      </c>
      <c r="M41" s="25">
        <f>M40+H41+MAX(0,-E41)</f>
        <v/>
      </c>
      <c r="N41" s="25">
        <f>N40+MAX(0,E41)</f>
        <v/>
      </c>
    </row>
    <row r="42">
      <c r="A42" s="22" t="n">
        <v>41</v>
      </c>
      <c r="B42" s="23">
        <f>propPrice*(1+monthlyAppn)^A42</f>
        <v/>
      </c>
      <c r="C42" s="23">
        <f>IF(A42&gt;=startRentalMonth, initRent*(1+monthlyRentInf)^(A42-1), 0)</f>
        <v/>
      </c>
      <c r="D42" s="23">
        <f>initMaint*(1+monthlyRentInf)^(A42-1)</f>
        <v/>
      </c>
      <c r="E42" s="23">
        <f>C42*(1-vacancyPct)-D42</f>
        <v/>
      </c>
      <c r="F42" s="23">
        <f>I41</f>
        <v/>
      </c>
      <c r="G42" s="23">
        <f>IF(AND(F42&gt;0, A42&lt;=loanMonths), F42*rMonthly, 0)</f>
        <v/>
      </c>
      <c r="H42" s="23">
        <f>IF(AND(F42&gt;0, A42&lt;=loanMonths), EMI, 0)</f>
        <v/>
      </c>
      <c r="I42" s="23">
        <f>IF(AND(F42&gt;0, A42&lt;=loanMonths), MAX(0, F42-MIN(EMI-G42, F42)), F42)</f>
        <v/>
      </c>
      <c r="J42" s="23">
        <f>K41</f>
        <v/>
      </c>
      <c r="K42" s="23">
        <f>J42*(1+mfMo)+H42-E42</f>
        <v/>
      </c>
      <c r="L42" s="23">
        <f>L41+E42</f>
        <v/>
      </c>
      <c r="M42" s="23">
        <f>M41+H42+MAX(0,-E42)</f>
        <v/>
      </c>
      <c r="N42" s="23">
        <f>N41+MAX(0,E42)</f>
        <v/>
      </c>
    </row>
    <row r="43">
      <c r="A43" s="24" t="n">
        <v>42</v>
      </c>
      <c r="B43" s="25">
        <f>propPrice*(1+monthlyAppn)^A43</f>
        <v/>
      </c>
      <c r="C43" s="25">
        <f>IF(A43&gt;=startRentalMonth, initRent*(1+monthlyRentInf)^(A43-1), 0)</f>
        <v/>
      </c>
      <c r="D43" s="25">
        <f>initMaint*(1+monthlyRentInf)^(A43-1)</f>
        <v/>
      </c>
      <c r="E43" s="25">
        <f>C43*(1-vacancyPct)-D43</f>
        <v/>
      </c>
      <c r="F43" s="25">
        <f>I42</f>
        <v/>
      </c>
      <c r="G43" s="25">
        <f>IF(AND(F43&gt;0, A43&lt;=loanMonths), F43*rMonthly, 0)</f>
        <v/>
      </c>
      <c r="H43" s="25">
        <f>IF(AND(F43&gt;0, A43&lt;=loanMonths), EMI, 0)</f>
        <v/>
      </c>
      <c r="I43" s="25">
        <f>IF(AND(F43&gt;0, A43&lt;=loanMonths), MAX(0, F43-MIN(EMI-G43, F43)), F43)</f>
        <v/>
      </c>
      <c r="J43" s="25">
        <f>K42</f>
        <v/>
      </c>
      <c r="K43" s="25">
        <f>J43*(1+mfMo)+H43-E43</f>
        <v/>
      </c>
      <c r="L43" s="25">
        <f>L42+E43</f>
        <v/>
      </c>
      <c r="M43" s="25">
        <f>M42+H43+MAX(0,-E43)</f>
        <v/>
      </c>
      <c r="N43" s="25">
        <f>N42+MAX(0,E43)</f>
        <v/>
      </c>
    </row>
    <row r="44">
      <c r="A44" s="22" t="n">
        <v>43</v>
      </c>
      <c r="B44" s="23">
        <f>propPrice*(1+monthlyAppn)^A44</f>
        <v/>
      </c>
      <c r="C44" s="23">
        <f>IF(A44&gt;=startRentalMonth, initRent*(1+monthlyRentInf)^(A44-1), 0)</f>
        <v/>
      </c>
      <c r="D44" s="23">
        <f>initMaint*(1+monthlyRentInf)^(A44-1)</f>
        <v/>
      </c>
      <c r="E44" s="23">
        <f>C44*(1-vacancyPct)-D44</f>
        <v/>
      </c>
      <c r="F44" s="23">
        <f>I43</f>
        <v/>
      </c>
      <c r="G44" s="23">
        <f>IF(AND(F44&gt;0, A44&lt;=loanMonths), F44*rMonthly, 0)</f>
        <v/>
      </c>
      <c r="H44" s="23">
        <f>IF(AND(F44&gt;0, A44&lt;=loanMonths), EMI, 0)</f>
        <v/>
      </c>
      <c r="I44" s="23">
        <f>IF(AND(F44&gt;0, A44&lt;=loanMonths), MAX(0, F44-MIN(EMI-G44, F44)), F44)</f>
        <v/>
      </c>
      <c r="J44" s="23">
        <f>K43</f>
        <v/>
      </c>
      <c r="K44" s="23">
        <f>J44*(1+mfMo)+H44-E44</f>
        <v/>
      </c>
      <c r="L44" s="23">
        <f>L43+E44</f>
        <v/>
      </c>
      <c r="M44" s="23">
        <f>M43+H44+MAX(0,-E44)</f>
        <v/>
      </c>
      <c r="N44" s="23">
        <f>N43+MAX(0,E44)</f>
        <v/>
      </c>
    </row>
    <row r="45">
      <c r="A45" s="24" t="n">
        <v>44</v>
      </c>
      <c r="B45" s="25">
        <f>propPrice*(1+monthlyAppn)^A45</f>
        <v/>
      </c>
      <c r="C45" s="25">
        <f>IF(A45&gt;=startRentalMonth, initRent*(1+monthlyRentInf)^(A45-1), 0)</f>
        <v/>
      </c>
      <c r="D45" s="25">
        <f>initMaint*(1+monthlyRentInf)^(A45-1)</f>
        <v/>
      </c>
      <c r="E45" s="25">
        <f>C45*(1-vacancyPct)-D45</f>
        <v/>
      </c>
      <c r="F45" s="25">
        <f>I44</f>
        <v/>
      </c>
      <c r="G45" s="25">
        <f>IF(AND(F45&gt;0, A45&lt;=loanMonths), F45*rMonthly, 0)</f>
        <v/>
      </c>
      <c r="H45" s="25">
        <f>IF(AND(F45&gt;0, A45&lt;=loanMonths), EMI, 0)</f>
        <v/>
      </c>
      <c r="I45" s="25">
        <f>IF(AND(F45&gt;0, A45&lt;=loanMonths), MAX(0, F45-MIN(EMI-G45, F45)), F45)</f>
        <v/>
      </c>
      <c r="J45" s="25">
        <f>K44</f>
        <v/>
      </c>
      <c r="K45" s="25">
        <f>J45*(1+mfMo)+H45-E45</f>
        <v/>
      </c>
      <c r="L45" s="25">
        <f>L44+E45</f>
        <v/>
      </c>
      <c r="M45" s="25">
        <f>M44+H45+MAX(0,-E45)</f>
        <v/>
      </c>
      <c r="N45" s="25">
        <f>N44+MAX(0,E45)</f>
        <v/>
      </c>
    </row>
    <row r="46">
      <c r="A46" s="22" t="n">
        <v>45</v>
      </c>
      <c r="B46" s="23">
        <f>propPrice*(1+monthlyAppn)^A46</f>
        <v/>
      </c>
      <c r="C46" s="23">
        <f>IF(A46&gt;=startRentalMonth, initRent*(1+monthlyRentInf)^(A46-1), 0)</f>
        <v/>
      </c>
      <c r="D46" s="23">
        <f>initMaint*(1+monthlyRentInf)^(A46-1)</f>
        <v/>
      </c>
      <c r="E46" s="23">
        <f>C46*(1-vacancyPct)-D46</f>
        <v/>
      </c>
      <c r="F46" s="23">
        <f>I45</f>
        <v/>
      </c>
      <c r="G46" s="23">
        <f>IF(AND(F46&gt;0, A46&lt;=loanMonths), F46*rMonthly, 0)</f>
        <v/>
      </c>
      <c r="H46" s="23">
        <f>IF(AND(F46&gt;0, A46&lt;=loanMonths), EMI, 0)</f>
        <v/>
      </c>
      <c r="I46" s="23">
        <f>IF(AND(F46&gt;0, A46&lt;=loanMonths), MAX(0, F46-MIN(EMI-G46, F46)), F46)</f>
        <v/>
      </c>
      <c r="J46" s="23">
        <f>K45</f>
        <v/>
      </c>
      <c r="K46" s="23">
        <f>J46*(1+mfMo)+H46-E46</f>
        <v/>
      </c>
      <c r="L46" s="23">
        <f>L45+E46</f>
        <v/>
      </c>
      <c r="M46" s="23">
        <f>M45+H46+MAX(0,-E46)</f>
        <v/>
      </c>
      <c r="N46" s="23">
        <f>N45+MAX(0,E46)</f>
        <v/>
      </c>
    </row>
    <row r="47">
      <c r="A47" s="24" t="n">
        <v>46</v>
      </c>
      <c r="B47" s="25">
        <f>propPrice*(1+monthlyAppn)^A47</f>
        <v/>
      </c>
      <c r="C47" s="25">
        <f>IF(A47&gt;=startRentalMonth, initRent*(1+monthlyRentInf)^(A47-1), 0)</f>
        <v/>
      </c>
      <c r="D47" s="25">
        <f>initMaint*(1+monthlyRentInf)^(A47-1)</f>
        <v/>
      </c>
      <c r="E47" s="25">
        <f>C47*(1-vacancyPct)-D47</f>
        <v/>
      </c>
      <c r="F47" s="25">
        <f>I46</f>
        <v/>
      </c>
      <c r="G47" s="25">
        <f>IF(AND(F47&gt;0, A47&lt;=loanMonths), F47*rMonthly, 0)</f>
        <v/>
      </c>
      <c r="H47" s="25">
        <f>IF(AND(F47&gt;0, A47&lt;=loanMonths), EMI, 0)</f>
        <v/>
      </c>
      <c r="I47" s="25">
        <f>IF(AND(F47&gt;0, A47&lt;=loanMonths), MAX(0, F47-MIN(EMI-G47, F47)), F47)</f>
        <v/>
      </c>
      <c r="J47" s="25">
        <f>K46</f>
        <v/>
      </c>
      <c r="K47" s="25">
        <f>J47*(1+mfMo)+H47-E47</f>
        <v/>
      </c>
      <c r="L47" s="25">
        <f>L46+E47</f>
        <v/>
      </c>
      <c r="M47" s="25">
        <f>M46+H47+MAX(0,-E47)</f>
        <v/>
      </c>
      <c r="N47" s="25">
        <f>N46+MAX(0,E47)</f>
        <v/>
      </c>
    </row>
    <row r="48">
      <c r="A48" s="22" t="n">
        <v>47</v>
      </c>
      <c r="B48" s="23">
        <f>propPrice*(1+monthlyAppn)^A48</f>
        <v/>
      </c>
      <c r="C48" s="23">
        <f>IF(A48&gt;=startRentalMonth, initRent*(1+monthlyRentInf)^(A48-1), 0)</f>
        <v/>
      </c>
      <c r="D48" s="23">
        <f>initMaint*(1+monthlyRentInf)^(A48-1)</f>
        <v/>
      </c>
      <c r="E48" s="23">
        <f>C48*(1-vacancyPct)-D48</f>
        <v/>
      </c>
      <c r="F48" s="23">
        <f>I47</f>
        <v/>
      </c>
      <c r="G48" s="23">
        <f>IF(AND(F48&gt;0, A48&lt;=loanMonths), F48*rMonthly, 0)</f>
        <v/>
      </c>
      <c r="H48" s="23">
        <f>IF(AND(F48&gt;0, A48&lt;=loanMonths), EMI, 0)</f>
        <v/>
      </c>
      <c r="I48" s="23">
        <f>IF(AND(F48&gt;0, A48&lt;=loanMonths), MAX(0, F48-MIN(EMI-G48, F48)), F48)</f>
        <v/>
      </c>
      <c r="J48" s="23">
        <f>K47</f>
        <v/>
      </c>
      <c r="K48" s="23">
        <f>J48*(1+mfMo)+H48-E48</f>
        <v/>
      </c>
      <c r="L48" s="23">
        <f>L47+E48</f>
        <v/>
      </c>
      <c r="M48" s="23">
        <f>M47+H48+MAX(0,-E48)</f>
        <v/>
      </c>
      <c r="N48" s="23">
        <f>N47+MAX(0,E48)</f>
        <v/>
      </c>
    </row>
    <row r="49">
      <c r="A49" s="24" t="n">
        <v>48</v>
      </c>
      <c r="B49" s="25">
        <f>propPrice*(1+monthlyAppn)^A49</f>
        <v/>
      </c>
      <c r="C49" s="25">
        <f>IF(A49&gt;=startRentalMonth, initRent*(1+monthlyRentInf)^(A49-1), 0)</f>
        <v/>
      </c>
      <c r="D49" s="25">
        <f>initMaint*(1+monthlyRentInf)^(A49-1)</f>
        <v/>
      </c>
      <c r="E49" s="25">
        <f>C49*(1-vacancyPct)-D49</f>
        <v/>
      </c>
      <c r="F49" s="25">
        <f>I48</f>
        <v/>
      </c>
      <c r="G49" s="25">
        <f>IF(AND(F49&gt;0, A49&lt;=loanMonths), F49*rMonthly, 0)</f>
        <v/>
      </c>
      <c r="H49" s="25">
        <f>IF(AND(F49&gt;0, A49&lt;=loanMonths), EMI, 0)</f>
        <v/>
      </c>
      <c r="I49" s="25">
        <f>IF(AND(F49&gt;0, A49&lt;=loanMonths), MAX(0, F49-MIN(EMI-G49, F49)), F49)</f>
        <v/>
      </c>
      <c r="J49" s="25">
        <f>K48</f>
        <v/>
      </c>
      <c r="K49" s="25">
        <f>J49*(1+mfMo)+H49-E49</f>
        <v/>
      </c>
      <c r="L49" s="25">
        <f>L48+E49</f>
        <v/>
      </c>
      <c r="M49" s="25">
        <f>M48+H49+MAX(0,-E49)</f>
        <v/>
      </c>
      <c r="N49" s="25">
        <f>N48+MAX(0,E49)</f>
        <v/>
      </c>
    </row>
    <row r="50">
      <c r="A50" s="22" t="n">
        <v>49</v>
      </c>
      <c r="B50" s="23">
        <f>propPrice*(1+monthlyAppn)^A50</f>
        <v/>
      </c>
      <c r="C50" s="23">
        <f>IF(A50&gt;=startRentalMonth, initRent*(1+monthlyRentInf)^(A50-1), 0)</f>
        <v/>
      </c>
      <c r="D50" s="23">
        <f>initMaint*(1+monthlyRentInf)^(A50-1)</f>
        <v/>
      </c>
      <c r="E50" s="23">
        <f>C50*(1-vacancyPct)-D50</f>
        <v/>
      </c>
      <c r="F50" s="23">
        <f>I49</f>
        <v/>
      </c>
      <c r="G50" s="23">
        <f>IF(AND(F50&gt;0, A50&lt;=loanMonths), F50*rMonthly, 0)</f>
        <v/>
      </c>
      <c r="H50" s="23">
        <f>IF(AND(F50&gt;0, A50&lt;=loanMonths), EMI, 0)</f>
        <v/>
      </c>
      <c r="I50" s="23">
        <f>IF(AND(F50&gt;0, A50&lt;=loanMonths), MAX(0, F50-MIN(EMI-G50, F50)), F50)</f>
        <v/>
      </c>
      <c r="J50" s="23">
        <f>K49</f>
        <v/>
      </c>
      <c r="K50" s="23">
        <f>J50*(1+mfMo)+H50-E50</f>
        <v/>
      </c>
      <c r="L50" s="23">
        <f>L49+E50</f>
        <v/>
      </c>
      <c r="M50" s="23">
        <f>M49+H50+MAX(0,-E50)</f>
        <v/>
      </c>
      <c r="N50" s="23">
        <f>N49+MAX(0,E50)</f>
        <v/>
      </c>
    </row>
    <row r="51">
      <c r="A51" s="24" t="n">
        <v>50</v>
      </c>
      <c r="B51" s="25">
        <f>propPrice*(1+monthlyAppn)^A51</f>
        <v/>
      </c>
      <c r="C51" s="25">
        <f>IF(A51&gt;=startRentalMonth, initRent*(1+monthlyRentInf)^(A51-1), 0)</f>
        <v/>
      </c>
      <c r="D51" s="25">
        <f>initMaint*(1+monthlyRentInf)^(A51-1)</f>
        <v/>
      </c>
      <c r="E51" s="25">
        <f>C51*(1-vacancyPct)-D51</f>
        <v/>
      </c>
      <c r="F51" s="25">
        <f>I50</f>
        <v/>
      </c>
      <c r="G51" s="25">
        <f>IF(AND(F51&gt;0, A51&lt;=loanMonths), F51*rMonthly, 0)</f>
        <v/>
      </c>
      <c r="H51" s="25">
        <f>IF(AND(F51&gt;0, A51&lt;=loanMonths), EMI, 0)</f>
        <v/>
      </c>
      <c r="I51" s="25">
        <f>IF(AND(F51&gt;0, A51&lt;=loanMonths), MAX(0, F51-MIN(EMI-G51, F51)), F51)</f>
        <v/>
      </c>
      <c r="J51" s="25">
        <f>K50</f>
        <v/>
      </c>
      <c r="K51" s="25">
        <f>J51*(1+mfMo)+H51-E51</f>
        <v/>
      </c>
      <c r="L51" s="25">
        <f>L50+E51</f>
        <v/>
      </c>
      <c r="M51" s="25">
        <f>M50+H51+MAX(0,-E51)</f>
        <v/>
      </c>
      <c r="N51" s="25">
        <f>N50+MAX(0,E51)</f>
        <v/>
      </c>
    </row>
    <row r="52">
      <c r="A52" s="22" t="n">
        <v>51</v>
      </c>
      <c r="B52" s="23">
        <f>propPrice*(1+monthlyAppn)^A52</f>
        <v/>
      </c>
      <c r="C52" s="23">
        <f>IF(A52&gt;=startRentalMonth, initRent*(1+monthlyRentInf)^(A52-1), 0)</f>
        <v/>
      </c>
      <c r="D52" s="23">
        <f>initMaint*(1+monthlyRentInf)^(A52-1)</f>
        <v/>
      </c>
      <c r="E52" s="23">
        <f>C52*(1-vacancyPct)-D52</f>
        <v/>
      </c>
      <c r="F52" s="23">
        <f>I51</f>
        <v/>
      </c>
      <c r="G52" s="23">
        <f>IF(AND(F52&gt;0, A52&lt;=loanMonths), F52*rMonthly, 0)</f>
        <v/>
      </c>
      <c r="H52" s="23">
        <f>IF(AND(F52&gt;0, A52&lt;=loanMonths), EMI, 0)</f>
        <v/>
      </c>
      <c r="I52" s="23">
        <f>IF(AND(F52&gt;0, A52&lt;=loanMonths), MAX(0, F52-MIN(EMI-G52, F52)), F52)</f>
        <v/>
      </c>
      <c r="J52" s="23">
        <f>K51</f>
        <v/>
      </c>
      <c r="K52" s="23">
        <f>J52*(1+mfMo)+H52-E52</f>
        <v/>
      </c>
      <c r="L52" s="23">
        <f>L51+E52</f>
        <v/>
      </c>
      <c r="M52" s="23">
        <f>M51+H52+MAX(0,-E52)</f>
        <v/>
      </c>
      <c r="N52" s="23">
        <f>N51+MAX(0,E52)</f>
        <v/>
      </c>
    </row>
    <row r="53">
      <c r="A53" s="24" t="n">
        <v>52</v>
      </c>
      <c r="B53" s="25">
        <f>propPrice*(1+monthlyAppn)^A53</f>
        <v/>
      </c>
      <c r="C53" s="25">
        <f>IF(A53&gt;=startRentalMonth, initRent*(1+monthlyRentInf)^(A53-1), 0)</f>
        <v/>
      </c>
      <c r="D53" s="25">
        <f>initMaint*(1+monthlyRentInf)^(A53-1)</f>
        <v/>
      </c>
      <c r="E53" s="25">
        <f>C53*(1-vacancyPct)-D53</f>
        <v/>
      </c>
      <c r="F53" s="25">
        <f>I52</f>
        <v/>
      </c>
      <c r="G53" s="25">
        <f>IF(AND(F53&gt;0, A53&lt;=loanMonths), F53*rMonthly, 0)</f>
        <v/>
      </c>
      <c r="H53" s="25">
        <f>IF(AND(F53&gt;0, A53&lt;=loanMonths), EMI, 0)</f>
        <v/>
      </c>
      <c r="I53" s="25">
        <f>IF(AND(F53&gt;0, A53&lt;=loanMonths), MAX(0, F53-MIN(EMI-G53, F53)), F53)</f>
        <v/>
      </c>
      <c r="J53" s="25">
        <f>K52</f>
        <v/>
      </c>
      <c r="K53" s="25">
        <f>J53*(1+mfMo)+H53-E53</f>
        <v/>
      </c>
      <c r="L53" s="25">
        <f>L52+E53</f>
        <v/>
      </c>
      <c r="M53" s="25">
        <f>M52+H53+MAX(0,-E53)</f>
        <v/>
      </c>
      <c r="N53" s="25">
        <f>N52+MAX(0,E53)</f>
        <v/>
      </c>
    </row>
    <row r="54">
      <c r="A54" s="22" t="n">
        <v>53</v>
      </c>
      <c r="B54" s="23">
        <f>propPrice*(1+monthlyAppn)^A54</f>
        <v/>
      </c>
      <c r="C54" s="23">
        <f>IF(A54&gt;=startRentalMonth, initRent*(1+monthlyRentInf)^(A54-1), 0)</f>
        <v/>
      </c>
      <c r="D54" s="23">
        <f>initMaint*(1+monthlyRentInf)^(A54-1)</f>
        <v/>
      </c>
      <c r="E54" s="23">
        <f>C54*(1-vacancyPct)-D54</f>
        <v/>
      </c>
      <c r="F54" s="23">
        <f>I53</f>
        <v/>
      </c>
      <c r="G54" s="23">
        <f>IF(AND(F54&gt;0, A54&lt;=loanMonths), F54*rMonthly, 0)</f>
        <v/>
      </c>
      <c r="H54" s="23">
        <f>IF(AND(F54&gt;0, A54&lt;=loanMonths), EMI, 0)</f>
        <v/>
      </c>
      <c r="I54" s="23">
        <f>IF(AND(F54&gt;0, A54&lt;=loanMonths), MAX(0, F54-MIN(EMI-G54, F54)), F54)</f>
        <v/>
      </c>
      <c r="J54" s="23">
        <f>K53</f>
        <v/>
      </c>
      <c r="K54" s="23">
        <f>J54*(1+mfMo)+H54-E54</f>
        <v/>
      </c>
      <c r="L54" s="23">
        <f>L53+E54</f>
        <v/>
      </c>
      <c r="M54" s="23">
        <f>M53+H54+MAX(0,-E54)</f>
        <v/>
      </c>
      <c r="N54" s="23">
        <f>N53+MAX(0,E54)</f>
        <v/>
      </c>
    </row>
    <row r="55">
      <c r="A55" s="24" t="n">
        <v>54</v>
      </c>
      <c r="B55" s="25">
        <f>propPrice*(1+monthlyAppn)^A55</f>
        <v/>
      </c>
      <c r="C55" s="25">
        <f>IF(A55&gt;=startRentalMonth, initRent*(1+monthlyRentInf)^(A55-1), 0)</f>
        <v/>
      </c>
      <c r="D55" s="25">
        <f>initMaint*(1+monthlyRentInf)^(A55-1)</f>
        <v/>
      </c>
      <c r="E55" s="25">
        <f>C55*(1-vacancyPct)-D55</f>
        <v/>
      </c>
      <c r="F55" s="25">
        <f>I54</f>
        <v/>
      </c>
      <c r="G55" s="25">
        <f>IF(AND(F55&gt;0, A55&lt;=loanMonths), F55*rMonthly, 0)</f>
        <v/>
      </c>
      <c r="H55" s="25">
        <f>IF(AND(F55&gt;0, A55&lt;=loanMonths), EMI, 0)</f>
        <v/>
      </c>
      <c r="I55" s="25">
        <f>IF(AND(F55&gt;0, A55&lt;=loanMonths), MAX(0, F55-MIN(EMI-G55, F55)), F55)</f>
        <v/>
      </c>
      <c r="J55" s="25">
        <f>K54</f>
        <v/>
      </c>
      <c r="K55" s="25">
        <f>J55*(1+mfMo)+H55-E55</f>
        <v/>
      </c>
      <c r="L55" s="25">
        <f>L54+E55</f>
        <v/>
      </c>
      <c r="M55" s="25">
        <f>M54+H55+MAX(0,-E55)</f>
        <v/>
      </c>
      <c r="N55" s="25">
        <f>N54+MAX(0,E55)</f>
        <v/>
      </c>
    </row>
    <row r="56">
      <c r="A56" s="22" t="n">
        <v>55</v>
      </c>
      <c r="B56" s="23">
        <f>propPrice*(1+monthlyAppn)^A56</f>
        <v/>
      </c>
      <c r="C56" s="23">
        <f>IF(A56&gt;=startRentalMonth, initRent*(1+monthlyRentInf)^(A56-1), 0)</f>
        <v/>
      </c>
      <c r="D56" s="23">
        <f>initMaint*(1+monthlyRentInf)^(A56-1)</f>
        <v/>
      </c>
      <c r="E56" s="23">
        <f>C56*(1-vacancyPct)-D56</f>
        <v/>
      </c>
      <c r="F56" s="23">
        <f>I55</f>
        <v/>
      </c>
      <c r="G56" s="23">
        <f>IF(AND(F56&gt;0, A56&lt;=loanMonths), F56*rMonthly, 0)</f>
        <v/>
      </c>
      <c r="H56" s="23">
        <f>IF(AND(F56&gt;0, A56&lt;=loanMonths), EMI, 0)</f>
        <v/>
      </c>
      <c r="I56" s="23">
        <f>IF(AND(F56&gt;0, A56&lt;=loanMonths), MAX(0, F56-MIN(EMI-G56, F56)), F56)</f>
        <v/>
      </c>
      <c r="J56" s="23">
        <f>K55</f>
        <v/>
      </c>
      <c r="K56" s="23">
        <f>J56*(1+mfMo)+H56-E56</f>
        <v/>
      </c>
      <c r="L56" s="23">
        <f>L55+E56</f>
        <v/>
      </c>
      <c r="M56" s="23">
        <f>M55+H56+MAX(0,-E56)</f>
        <v/>
      </c>
      <c r="N56" s="23">
        <f>N55+MAX(0,E56)</f>
        <v/>
      </c>
    </row>
    <row r="57">
      <c r="A57" s="24" t="n">
        <v>56</v>
      </c>
      <c r="B57" s="25">
        <f>propPrice*(1+monthlyAppn)^A57</f>
        <v/>
      </c>
      <c r="C57" s="25">
        <f>IF(A57&gt;=startRentalMonth, initRent*(1+monthlyRentInf)^(A57-1), 0)</f>
        <v/>
      </c>
      <c r="D57" s="25">
        <f>initMaint*(1+monthlyRentInf)^(A57-1)</f>
        <v/>
      </c>
      <c r="E57" s="25">
        <f>C57*(1-vacancyPct)-D57</f>
        <v/>
      </c>
      <c r="F57" s="25">
        <f>I56</f>
        <v/>
      </c>
      <c r="G57" s="25">
        <f>IF(AND(F57&gt;0, A57&lt;=loanMonths), F57*rMonthly, 0)</f>
        <v/>
      </c>
      <c r="H57" s="25">
        <f>IF(AND(F57&gt;0, A57&lt;=loanMonths), EMI, 0)</f>
        <v/>
      </c>
      <c r="I57" s="25">
        <f>IF(AND(F57&gt;0, A57&lt;=loanMonths), MAX(0, F57-MIN(EMI-G57, F57)), F57)</f>
        <v/>
      </c>
      <c r="J57" s="25">
        <f>K56</f>
        <v/>
      </c>
      <c r="K57" s="25">
        <f>J57*(1+mfMo)+H57-E57</f>
        <v/>
      </c>
      <c r="L57" s="25">
        <f>L56+E57</f>
        <v/>
      </c>
      <c r="M57" s="25">
        <f>M56+H57+MAX(0,-E57)</f>
        <v/>
      </c>
      <c r="N57" s="25">
        <f>N56+MAX(0,E57)</f>
        <v/>
      </c>
    </row>
    <row r="58">
      <c r="A58" s="22" t="n">
        <v>57</v>
      </c>
      <c r="B58" s="23">
        <f>propPrice*(1+monthlyAppn)^A58</f>
        <v/>
      </c>
      <c r="C58" s="23">
        <f>IF(A58&gt;=startRentalMonth, initRent*(1+monthlyRentInf)^(A58-1), 0)</f>
        <v/>
      </c>
      <c r="D58" s="23">
        <f>initMaint*(1+monthlyRentInf)^(A58-1)</f>
        <v/>
      </c>
      <c r="E58" s="23">
        <f>C58*(1-vacancyPct)-D58</f>
        <v/>
      </c>
      <c r="F58" s="23">
        <f>I57</f>
        <v/>
      </c>
      <c r="G58" s="23">
        <f>IF(AND(F58&gt;0, A58&lt;=loanMonths), F58*rMonthly, 0)</f>
        <v/>
      </c>
      <c r="H58" s="23">
        <f>IF(AND(F58&gt;0, A58&lt;=loanMonths), EMI, 0)</f>
        <v/>
      </c>
      <c r="I58" s="23">
        <f>IF(AND(F58&gt;0, A58&lt;=loanMonths), MAX(0, F58-MIN(EMI-G58, F58)), F58)</f>
        <v/>
      </c>
      <c r="J58" s="23">
        <f>K57</f>
        <v/>
      </c>
      <c r="K58" s="23">
        <f>J58*(1+mfMo)+H58-E58</f>
        <v/>
      </c>
      <c r="L58" s="23">
        <f>L57+E58</f>
        <v/>
      </c>
      <c r="M58" s="23">
        <f>M57+H58+MAX(0,-E58)</f>
        <v/>
      </c>
      <c r="N58" s="23">
        <f>N57+MAX(0,E58)</f>
        <v/>
      </c>
    </row>
    <row r="59">
      <c r="A59" s="24" t="n">
        <v>58</v>
      </c>
      <c r="B59" s="25">
        <f>propPrice*(1+monthlyAppn)^A59</f>
        <v/>
      </c>
      <c r="C59" s="25">
        <f>IF(A59&gt;=startRentalMonth, initRent*(1+monthlyRentInf)^(A59-1), 0)</f>
        <v/>
      </c>
      <c r="D59" s="25">
        <f>initMaint*(1+monthlyRentInf)^(A59-1)</f>
        <v/>
      </c>
      <c r="E59" s="25">
        <f>C59*(1-vacancyPct)-D59</f>
        <v/>
      </c>
      <c r="F59" s="25">
        <f>I58</f>
        <v/>
      </c>
      <c r="G59" s="25">
        <f>IF(AND(F59&gt;0, A59&lt;=loanMonths), F59*rMonthly, 0)</f>
        <v/>
      </c>
      <c r="H59" s="25">
        <f>IF(AND(F59&gt;0, A59&lt;=loanMonths), EMI, 0)</f>
        <v/>
      </c>
      <c r="I59" s="25">
        <f>IF(AND(F59&gt;0, A59&lt;=loanMonths), MAX(0, F59-MIN(EMI-G59, F59)), F59)</f>
        <v/>
      </c>
      <c r="J59" s="25">
        <f>K58</f>
        <v/>
      </c>
      <c r="K59" s="25">
        <f>J59*(1+mfMo)+H59-E59</f>
        <v/>
      </c>
      <c r="L59" s="25">
        <f>L58+E59</f>
        <v/>
      </c>
      <c r="M59" s="25">
        <f>M58+H59+MAX(0,-E59)</f>
        <v/>
      </c>
      <c r="N59" s="25">
        <f>N58+MAX(0,E59)</f>
        <v/>
      </c>
    </row>
    <row r="60">
      <c r="A60" s="22" t="n">
        <v>59</v>
      </c>
      <c r="B60" s="23">
        <f>propPrice*(1+monthlyAppn)^A60</f>
        <v/>
      </c>
      <c r="C60" s="23">
        <f>IF(A60&gt;=startRentalMonth, initRent*(1+monthlyRentInf)^(A60-1), 0)</f>
        <v/>
      </c>
      <c r="D60" s="23">
        <f>initMaint*(1+monthlyRentInf)^(A60-1)</f>
        <v/>
      </c>
      <c r="E60" s="23">
        <f>C60*(1-vacancyPct)-D60</f>
        <v/>
      </c>
      <c r="F60" s="23">
        <f>I59</f>
        <v/>
      </c>
      <c r="G60" s="23">
        <f>IF(AND(F60&gt;0, A60&lt;=loanMonths), F60*rMonthly, 0)</f>
        <v/>
      </c>
      <c r="H60" s="23">
        <f>IF(AND(F60&gt;0, A60&lt;=loanMonths), EMI, 0)</f>
        <v/>
      </c>
      <c r="I60" s="23">
        <f>IF(AND(F60&gt;0, A60&lt;=loanMonths), MAX(0, F60-MIN(EMI-G60, F60)), F60)</f>
        <v/>
      </c>
      <c r="J60" s="23">
        <f>K59</f>
        <v/>
      </c>
      <c r="K60" s="23">
        <f>J60*(1+mfMo)+H60-E60</f>
        <v/>
      </c>
      <c r="L60" s="23">
        <f>L59+E60</f>
        <v/>
      </c>
      <c r="M60" s="23">
        <f>M59+H60+MAX(0,-E60)</f>
        <v/>
      </c>
      <c r="N60" s="23">
        <f>N59+MAX(0,E60)</f>
        <v/>
      </c>
    </row>
    <row r="61">
      <c r="A61" s="24" t="n">
        <v>60</v>
      </c>
      <c r="B61" s="25">
        <f>propPrice*(1+monthlyAppn)^A61</f>
        <v/>
      </c>
      <c r="C61" s="25">
        <f>IF(A61&gt;=startRentalMonth, initRent*(1+monthlyRentInf)^(A61-1), 0)</f>
        <v/>
      </c>
      <c r="D61" s="25">
        <f>initMaint*(1+monthlyRentInf)^(A61-1)</f>
        <v/>
      </c>
      <c r="E61" s="25">
        <f>C61*(1-vacancyPct)-D61</f>
        <v/>
      </c>
      <c r="F61" s="25">
        <f>I60</f>
        <v/>
      </c>
      <c r="G61" s="25">
        <f>IF(AND(F61&gt;0, A61&lt;=loanMonths), F61*rMonthly, 0)</f>
        <v/>
      </c>
      <c r="H61" s="25">
        <f>IF(AND(F61&gt;0, A61&lt;=loanMonths), EMI, 0)</f>
        <v/>
      </c>
      <c r="I61" s="25">
        <f>IF(AND(F61&gt;0, A61&lt;=loanMonths), MAX(0, F61-MIN(EMI-G61, F61)), F61)</f>
        <v/>
      </c>
      <c r="J61" s="25">
        <f>K60</f>
        <v/>
      </c>
      <c r="K61" s="25">
        <f>J61*(1+mfMo)+H61-E61</f>
        <v/>
      </c>
      <c r="L61" s="25">
        <f>L60+E61</f>
        <v/>
      </c>
      <c r="M61" s="25">
        <f>M60+H61+MAX(0,-E61)</f>
        <v/>
      </c>
      <c r="N61" s="25">
        <f>N60+MAX(0,E61)</f>
        <v/>
      </c>
    </row>
    <row r="62">
      <c r="A62" s="22" t="n">
        <v>61</v>
      </c>
      <c r="B62" s="23">
        <f>propPrice*(1+monthlyAppn)^A62</f>
        <v/>
      </c>
      <c r="C62" s="23">
        <f>IF(A62&gt;=startRentalMonth, initRent*(1+monthlyRentInf)^(A62-1), 0)</f>
        <v/>
      </c>
      <c r="D62" s="23">
        <f>initMaint*(1+monthlyRentInf)^(A62-1)</f>
        <v/>
      </c>
      <c r="E62" s="23">
        <f>C62*(1-vacancyPct)-D62</f>
        <v/>
      </c>
      <c r="F62" s="23">
        <f>I61</f>
        <v/>
      </c>
      <c r="G62" s="23">
        <f>IF(AND(F62&gt;0, A62&lt;=loanMonths), F62*rMonthly, 0)</f>
        <v/>
      </c>
      <c r="H62" s="23">
        <f>IF(AND(F62&gt;0, A62&lt;=loanMonths), EMI, 0)</f>
        <v/>
      </c>
      <c r="I62" s="23">
        <f>IF(AND(F62&gt;0, A62&lt;=loanMonths), MAX(0, F62-MIN(EMI-G62, F62)), F62)</f>
        <v/>
      </c>
      <c r="J62" s="23">
        <f>K61</f>
        <v/>
      </c>
      <c r="K62" s="23">
        <f>J62*(1+mfMo)+H62-E62</f>
        <v/>
      </c>
      <c r="L62" s="23">
        <f>L61+E62</f>
        <v/>
      </c>
      <c r="M62" s="23">
        <f>M61+H62+MAX(0,-E62)</f>
        <v/>
      </c>
      <c r="N62" s="23">
        <f>N61+MAX(0,E62)</f>
        <v/>
      </c>
    </row>
    <row r="63">
      <c r="A63" s="24" t="n">
        <v>62</v>
      </c>
      <c r="B63" s="25">
        <f>propPrice*(1+monthlyAppn)^A63</f>
        <v/>
      </c>
      <c r="C63" s="25">
        <f>IF(A63&gt;=startRentalMonth, initRent*(1+monthlyRentInf)^(A63-1), 0)</f>
        <v/>
      </c>
      <c r="D63" s="25">
        <f>initMaint*(1+monthlyRentInf)^(A63-1)</f>
        <v/>
      </c>
      <c r="E63" s="25">
        <f>C63*(1-vacancyPct)-D63</f>
        <v/>
      </c>
      <c r="F63" s="25">
        <f>I62</f>
        <v/>
      </c>
      <c r="G63" s="25">
        <f>IF(AND(F63&gt;0, A63&lt;=loanMonths), F63*rMonthly, 0)</f>
        <v/>
      </c>
      <c r="H63" s="25">
        <f>IF(AND(F63&gt;0, A63&lt;=loanMonths), EMI, 0)</f>
        <v/>
      </c>
      <c r="I63" s="25">
        <f>IF(AND(F63&gt;0, A63&lt;=loanMonths), MAX(0, F63-MIN(EMI-G63, F63)), F63)</f>
        <v/>
      </c>
      <c r="J63" s="25">
        <f>K62</f>
        <v/>
      </c>
      <c r="K63" s="25">
        <f>J63*(1+mfMo)+H63-E63</f>
        <v/>
      </c>
      <c r="L63" s="25">
        <f>L62+E63</f>
        <v/>
      </c>
      <c r="M63" s="25">
        <f>M62+H63+MAX(0,-E63)</f>
        <v/>
      </c>
      <c r="N63" s="25">
        <f>N62+MAX(0,E63)</f>
        <v/>
      </c>
    </row>
    <row r="64">
      <c r="A64" s="22" t="n">
        <v>63</v>
      </c>
      <c r="B64" s="23">
        <f>propPrice*(1+monthlyAppn)^A64</f>
        <v/>
      </c>
      <c r="C64" s="23">
        <f>IF(A64&gt;=startRentalMonth, initRent*(1+monthlyRentInf)^(A64-1), 0)</f>
        <v/>
      </c>
      <c r="D64" s="23">
        <f>initMaint*(1+monthlyRentInf)^(A64-1)</f>
        <v/>
      </c>
      <c r="E64" s="23">
        <f>C64*(1-vacancyPct)-D64</f>
        <v/>
      </c>
      <c r="F64" s="23">
        <f>I63</f>
        <v/>
      </c>
      <c r="G64" s="23">
        <f>IF(AND(F64&gt;0, A64&lt;=loanMonths), F64*rMonthly, 0)</f>
        <v/>
      </c>
      <c r="H64" s="23">
        <f>IF(AND(F64&gt;0, A64&lt;=loanMonths), EMI, 0)</f>
        <v/>
      </c>
      <c r="I64" s="23">
        <f>IF(AND(F64&gt;0, A64&lt;=loanMonths), MAX(0, F64-MIN(EMI-G64, F64)), F64)</f>
        <v/>
      </c>
      <c r="J64" s="23">
        <f>K63</f>
        <v/>
      </c>
      <c r="K64" s="23">
        <f>J64*(1+mfMo)+H64-E64</f>
        <v/>
      </c>
      <c r="L64" s="23">
        <f>L63+E64</f>
        <v/>
      </c>
      <c r="M64" s="23">
        <f>M63+H64+MAX(0,-E64)</f>
        <v/>
      </c>
      <c r="N64" s="23">
        <f>N63+MAX(0,E64)</f>
        <v/>
      </c>
    </row>
    <row r="65">
      <c r="A65" s="24" t="n">
        <v>64</v>
      </c>
      <c r="B65" s="25">
        <f>propPrice*(1+monthlyAppn)^A65</f>
        <v/>
      </c>
      <c r="C65" s="25">
        <f>IF(A65&gt;=startRentalMonth, initRent*(1+monthlyRentInf)^(A65-1), 0)</f>
        <v/>
      </c>
      <c r="D65" s="25">
        <f>initMaint*(1+monthlyRentInf)^(A65-1)</f>
        <v/>
      </c>
      <c r="E65" s="25">
        <f>C65*(1-vacancyPct)-D65</f>
        <v/>
      </c>
      <c r="F65" s="25">
        <f>I64</f>
        <v/>
      </c>
      <c r="G65" s="25">
        <f>IF(AND(F65&gt;0, A65&lt;=loanMonths), F65*rMonthly, 0)</f>
        <v/>
      </c>
      <c r="H65" s="25">
        <f>IF(AND(F65&gt;0, A65&lt;=loanMonths), EMI, 0)</f>
        <v/>
      </c>
      <c r="I65" s="25">
        <f>IF(AND(F65&gt;0, A65&lt;=loanMonths), MAX(0, F65-MIN(EMI-G65, F65)), F65)</f>
        <v/>
      </c>
      <c r="J65" s="25">
        <f>K64</f>
        <v/>
      </c>
      <c r="K65" s="25">
        <f>J65*(1+mfMo)+H65-E65</f>
        <v/>
      </c>
      <c r="L65" s="25">
        <f>L64+E65</f>
        <v/>
      </c>
      <c r="M65" s="25">
        <f>M64+H65+MAX(0,-E65)</f>
        <v/>
      </c>
      <c r="N65" s="25">
        <f>N64+MAX(0,E65)</f>
        <v/>
      </c>
    </row>
    <row r="66">
      <c r="A66" s="22" t="n">
        <v>65</v>
      </c>
      <c r="B66" s="23">
        <f>propPrice*(1+monthlyAppn)^A66</f>
        <v/>
      </c>
      <c r="C66" s="23">
        <f>IF(A66&gt;=startRentalMonth, initRent*(1+monthlyRentInf)^(A66-1), 0)</f>
        <v/>
      </c>
      <c r="D66" s="23">
        <f>initMaint*(1+monthlyRentInf)^(A66-1)</f>
        <v/>
      </c>
      <c r="E66" s="23">
        <f>C66*(1-vacancyPct)-D66</f>
        <v/>
      </c>
      <c r="F66" s="23">
        <f>I65</f>
        <v/>
      </c>
      <c r="G66" s="23">
        <f>IF(AND(F66&gt;0, A66&lt;=loanMonths), F66*rMonthly, 0)</f>
        <v/>
      </c>
      <c r="H66" s="23">
        <f>IF(AND(F66&gt;0, A66&lt;=loanMonths), EMI, 0)</f>
        <v/>
      </c>
      <c r="I66" s="23">
        <f>IF(AND(F66&gt;0, A66&lt;=loanMonths), MAX(0, F66-MIN(EMI-G66, F66)), F66)</f>
        <v/>
      </c>
      <c r="J66" s="23">
        <f>K65</f>
        <v/>
      </c>
      <c r="K66" s="23">
        <f>J66*(1+mfMo)+H66-E66</f>
        <v/>
      </c>
      <c r="L66" s="23">
        <f>L65+E66</f>
        <v/>
      </c>
      <c r="M66" s="23">
        <f>M65+H66+MAX(0,-E66)</f>
        <v/>
      </c>
      <c r="N66" s="23">
        <f>N65+MAX(0,E66)</f>
        <v/>
      </c>
    </row>
    <row r="67">
      <c r="A67" s="24" t="n">
        <v>66</v>
      </c>
      <c r="B67" s="25">
        <f>propPrice*(1+monthlyAppn)^A67</f>
        <v/>
      </c>
      <c r="C67" s="25">
        <f>IF(A67&gt;=startRentalMonth, initRent*(1+monthlyRentInf)^(A67-1), 0)</f>
        <v/>
      </c>
      <c r="D67" s="25">
        <f>initMaint*(1+monthlyRentInf)^(A67-1)</f>
        <v/>
      </c>
      <c r="E67" s="25">
        <f>C67*(1-vacancyPct)-D67</f>
        <v/>
      </c>
      <c r="F67" s="25">
        <f>I66</f>
        <v/>
      </c>
      <c r="G67" s="25">
        <f>IF(AND(F67&gt;0, A67&lt;=loanMonths), F67*rMonthly, 0)</f>
        <v/>
      </c>
      <c r="H67" s="25">
        <f>IF(AND(F67&gt;0, A67&lt;=loanMonths), EMI, 0)</f>
        <v/>
      </c>
      <c r="I67" s="25">
        <f>IF(AND(F67&gt;0, A67&lt;=loanMonths), MAX(0, F67-MIN(EMI-G67, F67)), F67)</f>
        <v/>
      </c>
      <c r="J67" s="25">
        <f>K66</f>
        <v/>
      </c>
      <c r="K67" s="25">
        <f>J67*(1+mfMo)+H67-E67</f>
        <v/>
      </c>
      <c r="L67" s="25">
        <f>L66+E67</f>
        <v/>
      </c>
      <c r="M67" s="25">
        <f>M66+H67+MAX(0,-E67)</f>
        <v/>
      </c>
      <c r="N67" s="25">
        <f>N66+MAX(0,E67)</f>
        <v/>
      </c>
    </row>
    <row r="68">
      <c r="A68" s="22" t="n">
        <v>67</v>
      </c>
      <c r="B68" s="23">
        <f>propPrice*(1+monthlyAppn)^A68</f>
        <v/>
      </c>
      <c r="C68" s="23">
        <f>IF(A68&gt;=startRentalMonth, initRent*(1+monthlyRentInf)^(A68-1), 0)</f>
        <v/>
      </c>
      <c r="D68" s="23">
        <f>initMaint*(1+monthlyRentInf)^(A68-1)</f>
        <v/>
      </c>
      <c r="E68" s="23">
        <f>C68*(1-vacancyPct)-D68</f>
        <v/>
      </c>
      <c r="F68" s="23">
        <f>I67</f>
        <v/>
      </c>
      <c r="G68" s="23">
        <f>IF(AND(F68&gt;0, A68&lt;=loanMonths), F68*rMonthly, 0)</f>
        <v/>
      </c>
      <c r="H68" s="23">
        <f>IF(AND(F68&gt;0, A68&lt;=loanMonths), EMI, 0)</f>
        <v/>
      </c>
      <c r="I68" s="23">
        <f>IF(AND(F68&gt;0, A68&lt;=loanMonths), MAX(0, F68-MIN(EMI-G68, F68)), F68)</f>
        <v/>
      </c>
      <c r="J68" s="23">
        <f>K67</f>
        <v/>
      </c>
      <c r="K68" s="23">
        <f>J68*(1+mfMo)+H68-E68</f>
        <v/>
      </c>
      <c r="L68" s="23">
        <f>L67+E68</f>
        <v/>
      </c>
      <c r="M68" s="23">
        <f>M67+H68+MAX(0,-E68)</f>
        <v/>
      </c>
      <c r="N68" s="23">
        <f>N67+MAX(0,E68)</f>
        <v/>
      </c>
    </row>
    <row r="69">
      <c r="A69" s="24" t="n">
        <v>68</v>
      </c>
      <c r="B69" s="25">
        <f>propPrice*(1+monthlyAppn)^A69</f>
        <v/>
      </c>
      <c r="C69" s="25">
        <f>IF(A69&gt;=startRentalMonth, initRent*(1+monthlyRentInf)^(A69-1), 0)</f>
        <v/>
      </c>
      <c r="D69" s="25">
        <f>initMaint*(1+monthlyRentInf)^(A69-1)</f>
        <v/>
      </c>
      <c r="E69" s="25">
        <f>C69*(1-vacancyPct)-D69</f>
        <v/>
      </c>
      <c r="F69" s="25">
        <f>I68</f>
        <v/>
      </c>
      <c r="G69" s="25">
        <f>IF(AND(F69&gt;0, A69&lt;=loanMonths), F69*rMonthly, 0)</f>
        <v/>
      </c>
      <c r="H69" s="25">
        <f>IF(AND(F69&gt;0, A69&lt;=loanMonths), EMI, 0)</f>
        <v/>
      </c>
      <c r="I69" s="25">
        <f>IF(AND(F69&gt;0, A69&lt;=loanMonths), MAX(0, F69-MIN(EMI-G69, F69)), F69)</f>
        <v/>
      </c>
      <c r="J69" s="25">
        <f>K68</f>
        <v/>
      </c>
      <c r="K69" s="25">
        <f>J69*(1+mfMo)+H69-E69</f>
        <v/>
      </c>
      <c r="L69" s="25">
        <f>L68+E69</f>
        <v/>
      </c>
      <c r="M69" s="25">
        <f>M68+H69+MAX(0,-E69)</f>
        <v/>
      </c>
      <c r="N69" s="25">
        <f>N68+MAX(0,E69)</f>
        <v/>
      </c>
    </row>
    <row r="70">
      <c r="A70" s="22" t="n">
        <v>69</v>
      </c>
      <c r="B70" s="23">
        <f>propPrice*(1+monthlyAppn)^A70</f>
        <v/>
      </c>
      <c r="C70" s="23">
        <f>IF(A70&gt;=startRentalMonth, initRent*(1+monthlyRentInf)^(A70-1), 0)</f>
        <v/>
      </c>
      <c r="D70" s="23">
        <f>initMaint*(1+monthlyRentInf)^(A70-1)</f>
        <v/>
      </c>
      <c r="E70" s="23">
        <f>C70*(1-vacancyPct)-D70</f>
        <v/>
      </c>
      <c r="F70" s="23">
        <f>I69</f>
        <v/>
      </c>
      <c r="G70" s="23">
        <f>IF(AND(F70&gt;0, A70&lt;=loanMonths), F70*rMonthly, 0)</f>
        <v/>
      </c>
      <c r="H70" s="23">
        <f>IF(AND(F70&gt;0, A70&lt;=loanMonths), EMI, 0)</f>
        <v/>
      </c>
      <c r="I70" s="23">
        <f>IF(AND(F70&gt;0, A70&lt;=loanMonths), MAX(0, F70-MIN(EMI-G70, F70)), F70)</f>
        <v/>
      </c>
      <c r="J70" s="23">
        <f>K69</f>
        <v/>
      </c>
      <c r="K70" s="23">
        <f>J70*(1+mfMo)+H70-E70</f>
        <v/>
      </c>
      <c r="L70" s="23">
        <f>L69+E70</f>
        <v/>
      </c>
      <c r="M70" s="23">
        <f>M69+H70+MAX(0,-E70)</f>
        <v/>
      </c>
      <c r="N70" s="23">
        <f>N69+MAX(0,E70)</f>
        <v/>
      </c>
    </row>
    <row r="71">
      <c r="A71" s="24" t="n">
        <v>70</v>
      </c>
      <c r="B71" s="25">
        <f>propPrice*(1+monthlyAppn)^A71</f>
        <v/>
      </c>
      <c r="C71" s="25">
        <f>IF(A71&gt;=startRentalMonth, initRent*(1+monthlyRentInf)^(A71-1), 0)</f>
        <v/>
      </c>
      <c r="D71" s="25">
        <f>initMaint*(1+monthlyRentInf)^(A71-1)</f>
        <v/>
      </c>
      <c r="E71" s="25">
        <f>C71*(1-vacancyPct)-D71</f>
        <v/>
      </c>
      <c r="F71" s="25">
        <f>I70</f>
        <v/>
      </c>
      <c r="G71" s="25">
        <f>IF(AND(F71&gt;0, A71&lt;=loanMonths), F71*rMonthly, 0)</f>
        <v/>
      </c>
      <c r="H71" s="25">
        <f>IF(AND(F71&gt;0, A71&lt;=loanMonths), EMI, 0)</f>
        <v/>
      </c>
      <c r="I71" s="25">
        <f>IF(AND(F71&gt;0, A71&lt;=loanMonths), MAX(0, F71-MIN(EMI-G71, F71)), F71)</f>
        <v/>
      </c>
      <c r="J71" s="25">
        <f>K70</f>
        <v/>
      </c>
      <c r="K71" s="25">
        <f>J71*(1+mfMo)+H71-E71</f>
        <v/>
      </c>
      <c r="L71" s="25">
        <f>L70+E71</f>
        <v/>
      </c>
      <c r="M71" s="25">
        <f>M70+H71+MAX(0,-E71)</f>
        <v/>
      </c>
      <c r="N71" s="25">
        <f>N70+MAX(0,E71)</f>
        <v/>
      </c>
    </row>
    <row r="72">
      <c r="A72" s="22" t="n">
        <v>71</v>
      </c>
      <c r="B72" s="23">
        <f>propPrice*(1+monthlyAppn)^A72</f>
        <v/>
      </c>
      <c r="C72" s="23">
        <f>IF(A72&gt;=startRentalMonth, initRent*(1+monthlyRentInf)^(A72-1), 0)</f>
        <v/>
      </c>
      <c r="D72" s="23">
        <f>initMaint*(1+monthlyRentInf)^(A72-1)</f>
        <v/>
      </c>
      <c r="E72" s="23">
        <f>C72*(1-vacancyPct)-D72</f>
        <v/>
      </c>
      <c r="F72" s="23">
        <f>I71</f>
        <v/>
      </c>
      <c r="G72" s="23">
        <f>IF(AND(F72&gt;0, A72&lt;=loanMonths), F72*rMonthly, 0)</f>
        <v/>
      </c>
      <c r="H72" s="23">
        <f>IF(AND(F72&gt;0, A72&lt;=loanMonths), EMI, 0)</f>
        <v/>
      </c>
      <c r="I72" s="23">
        <f>IF(AND(F72&gt;0, A72&lt;=loanMonths), MAX(0, F72-MIN(EMI-G72, F72)), F72)</f>
        <v/>
      </c>
      <c r="J72" s="23">
        <f>K71</f>
        <v/>
      </c>
      <c r="K72" s="23">
        <f>J72*(1+mfMo)+H72-E72</f>
        <v/>
      </c>
      <c r="L72" s="23">
        <f>L71+E72</f>
        <v/>
      </c>
      <c r="M72" s="23">
        <f>M71+H72+MAX(0,-E72)</f>
        <v/>
      </c>
      <c r="N72" s="23">
        <f>N71+MAX(0,E72)</f>
        <v/>
      </c>
    </row>
    <row r="73">
      <c r="A73" s="24" t="n">
        <v>72</v>
      </c>
      <c r="B73" s="25">
        <f>propPrice*(1+monthlyAppn)^A73</f>
        <v/>
      </c>
      <c r="C73" s="25">
        <f>IF(A73&gt;=startRentalMonth, initRent*(1+monthlyRentInf)^(A73-1), 0)</f>
        <v/>
      </c>
      <c r="D73" s="25">
        <f>initMaint*(1+monthlyRentInf)^(A73-1)</f>
        <v/>
      </c>
      <c r="E73" s="25">
        <f>C73*(1-vacancyPct)-D73</f>
        <v/>
      </c>
      <c r="F73" s="25">
        <f>I72</f>
        <v/>
      </c>
      <c r="G73" s="25">
        <f>IF(AND(F73&gt;0, A73&lt;=loanMonths), F73*rMonthly, 0)</f>
        <v/>
      </c>
      <c r="H73" s="25">
        <f>IF(AND(F73&gt;0, A73&lt;=loanMonths), EMI, 0)</f>
        <v/>
      </c>
      <c r="I73" s="25">
        <f>IF(AND(F73&gt;0, A73&lt;=loanMonths), MAX(0, F73-MIN(EMI-G73, F73)), F73)</f>
        <v/>
      </c>
      <c r="J73" s="25">
        <f>K72</f>
        <v/>
      </c>
      <c r="K73" s="25">
        <f>J73*(1+mfMo)+H73-E73</f>
        <v/>
      </c>
      <c r="L73" s="25">
        <f>L72+E73</f>
        <v/>
      </c>
      <c r="M73" s="25">
        <f>M72+H73+MAX(0,-E73)</f>
        <v/>
      </c>
      <c r="N73" s="25">
        <f>N72+MAX(0,E73)</f>
        <v/>
      </c>
    </row>
    <row r="74">
      <c r="A74" s="22" t="n">
        <v>73</v>
      </c>
      <c r="B74" s="23">
        <f>propPrice*(1+monthlyAppn)^A74</f>
        <v/>
      </c>
      <c r="C74" s="23">
        <f>IF(A74&gt;=startRentalMonth, initRent*(1+monthlyRentInf)^(A74-1), 0)</f>
        <v/>
      </c>
      <c r="D74" s="23">
        <f>initMaint*(1+monthlyRentInf)^(A74-1)</f>
        <v/>
      </c>
      <c r="E74" s="23">
        <f>C74*(1-vacancyPct)-D74</f>
        <v/>
      </c>
      <c r="F74" s="23">
        <f>I73</f>
        <v/>
      </c>
      <c r="G74" s="23">
        <f>IF(AND(F74&gt;0, A74&lt;=loanMonths), F74*rMonthly, 0)</f>
        <v/>
      </c>
      <c r="H74" s="23">
        <f>IF(AND(F74&gt;0, A74&lt;=loanMonths), EMI, 0)</f>
        <v/>
      </c>
      <c r="I74" s="23">
        <f>IF(AND(F74&gt;0, A74&lt;=loanMonths), MAX(0, F74-MIN(EMI-G74, F74)), F74)</f>
        <v/>
      </c>
      <c r="J74" s="23">
        <f>K73</f>
        <v/>
      </c>
      <c r="K74" s="23">
        <f>J74*(1+mfMo)+H74-E74</f>
        <v/>
      </c>
      <c r="L74" s="23">
        <f>L73+E74</f>
        <v/>
      </c>
      <c r="M74" s="23">
        <f>M73+H74+MAX(0,-E74)</f>
        <v/>
      </c>
      <c r="N74" s="23">
        <f>N73+MAX(0,E74)</f>
        <v/>
      </c>
    </row>
    <row r="75">
      <c r="A75" s="24" t="n">
        <v>74</v>
      </c>
      <c r="B75" s="25">
        <f>propPrice*(1+monthlyAppn)^A75</f>
        <v/>
      </c>
      <c r="C75" s="25">
        <f>IF(A75&gt;=startRentalMonth, initRent*(1+monthlyRentInf)^(A75-1), 0)</f>
        <v/>
      </c>
      <c r="D75" s="25">
        <f>initMaint*(1+monthlyRentInf)^(A75-1)</f>
        <v/>
      </c>
      <c r="E75" s="25">
        <f>C75*(1-vacancyPct)-D75</f>
        <v/>
      </c>
      <c r="F75" s="25">
        <f>I74</f>
        <v/>
      </c>
      <c r="G75" s="25">
        <f>IF(AND(F75&gt;0, A75&lt;=loanMonths), F75*rMonthly, 0)</f>
        <v/>
      </c>
      <c r="H75" s="25">
        <f>IF(AND(F75&gt;0, A75&lt;=loanMonths), EMI, 0)</f>
        <v/>
      </c>
      <c r="I75" s="25">
        <f>IF(AND(F75&gt;0, A75&lt;=loanMonths), MAX(0, F75-MIN(EMI-G75, F75)), F75)</f>
        <v/>
      </c>
      <c r="J75" s="25">
        <f>K74</f>
        <v/>
      </c>
      <c r="K75" s="25">
        <f>J75*(1+mfMo)+H75-E75</f>
        <v/>
      </c>
      <c r="L75" s="25">
        <f>L74+E75</f>
        <v/>
      </c>
      <c r="M75" s="25">
        <f>M74+H75+MAX(0,-E75)</f>
        <v/>
      </c>
      <c r="N75" s="25">
        <f>N74+MAX(0,E75)</f>
        <v/>
      </c>
    </row>
    <row r="76">
      <c r="A76" s="22" t="n">
        <v>75</v>
      </c>
      <c r="B76" s="23">
        <f>propPrice*(1+monthlyAppn)^A76</f>
        <v/>
      </c>
      <c r="C76" s="23">
        <f>IF(A76&gt;=startRentalMonth, initRent*(1+monthlyRentInf)^(A76-1), 0)</f>
        <v/>
      </c>
      <c r="D76" s="23">
        <f>initMaint*(1+monthlyRentInf)^(A76-1)</f>
        <v/>
      </c>
      <c r="E76" s="23">
        <f>C76*(1-vacancyPct)-D76</f>
        <v/>
      </c>
      <c r="F76" s="23">
        <f>I75</f>
        <v/>
      </c>
      <c r="G76" s="23">
        <f>IF(AND(F76&gt;0, A76&lt;=loanMonths), F76*rMonthly, 0)</f>
        <v/>
      </c>
      <c r="H76" s="23">
        <f>IF(AND(F76&gt;0, A76&lt;=loanMonths), EMI, 0)</f>
        <v/>
      </c>
      <c r="I76" s="23">
        <f>IF(AND(F76&gt;0, A76&lt;=loanMonths), MAX(0, F76-MIN(EMI-G76, F76)), F76)</f>
        <v/>
      </c>
      <c r="J76" s="23">
        <f>K75</f>
        <v/>
      </c>
      <c r="K76" s="23">
        <f>J76*(1+mfMo)+H76-E76</f>
        <v/>
      </c>
      <c r="L76" s="23">
        <f>L75+E76</f>
        <v/>
      </c>
      <c r="M76" s="23">
        <f>M75+H76+MAX(0,-E76)</f>
        <v/>
      </c>
      <c r="N76" s="23">
        <f>N75+MAX(0,E76)</f>
        <v/>
      </c>
    </row>
    <row r="77">
      <c r="A77" s="24" t="n">
        <v>76</v>
      </c>
      <c r="B77" s="25">
        <f>propPrice*(1+monthlyAppn)^A77</f>
        <v/>
      </c>
      <c r="C77" s="25">
        <f>IF(A77&gt;=startRentalMonth, initRent*(1+monthlyRentInf)^(A77-1), 0)</f>
        <v/>
      </c>
      <c r="D77" s="25">
        <f>initMaint*(1+monthlyRentInf)^(A77-1)</f>
        <v/>
      </c>
      <c r="E77" s="25">
        <f>C77*(1-vacancyPct)-D77</f>
        <v/>
      </c>
      <c r="F77" s="25">
        <f>I76</f>
        <v/>
      </c>
      <c r="G77" s="25">
        <f>IF(AND(F77&gt;0, A77&lt;=loanMonths), F77*rMonthly, 0)</f>
        <v/>
      </c>
      <c r="H77" s="25">
        <f>IF(AND(F77&gt;0, A77&lt;=loanMonths), EMI, 0)</f>
        <v/>
      </c>
      <c r="I77" s="25">
        <f>IF(AND(F77&gt;0, A77&lt;=loanMonths), MAX(0, F77-MIN(EMI-G77, F77)), F77)</f>
        <v/>
      </c>
      <c r="J77" s="25">
        <f>K76</f>
        <v/>
      </c>
      <c r="K77" s="25">
        <f>J77*(1+mfMo)+H77-E77</f>
        <v/>
      </c>
      <c r="L77" s="25">
        <f>L76+E77</f>
        <v/>
      </c>
      <c r="M77" s="25">
        <f>M76+H77+MAX(0,-E77)</f>
        <v/>
      </c>
      <c r="N77" s="25">
        <f>N76+MAX(0,E77)</f>
        <v/>
      </c>
    </row>
    <row r="78">
      <c r="A78" s="22" t="n">
        <v>77</v>
      </c>
      <c r="B78" s="23">
        <f>propPrice*(1+monthlyAppn)^A78</f>
        <v/>
      </c>
      <c r="C78" s="23">
        <f>IF(A78&gt;=startRentalMonth, initRent*(1+monthlyRentInf)^(A78-1), 0)</f>
        <v/>
      </c>
      <c r="D78" s="23">
        <f>initMaint*(1+monthlyRentInf)^(A78-1)</f>
        <v/>
      </c>
      <c r="E78" s="23">
        <f>C78*(1-vacancyPct)-D78</f>
        <v/>
      </c>
      <c r="F78" s="23">
        <f>I77</f>
        <v/>
      </c>
      <c r="G78" s="23">
        <f>IF(AND(F78&gt;0, A78&lt;=loanMonths), F78*rMonthly, 0)</f>
        <v/>
      </c>
      <c r="H78" s="23">
        <f>IF(AND(F78&gt;0, A78&lt;=loanMonths), EMI, 0)</f>
        <v/>
      </c>
      <c r="I78" s="23">
        <f>IF(AND(F78&gt;0, A78&lt;=loanMonths), MAX(0, F78-MIN(EMI-G78, F78)), F78)</f>
        <v/>
      </c>
      <c r="J78" s="23">
        <f>K77</f>
        <v/>
      </c>
      <c r="K78" s="23">
        <f>J78*(1+mfMo)+H78-E78</f>
        <v/>
      </c>
      <c r="L78" s="23">
        <f>L77+E78</f>
        <v/>
      </c>
      <c r="M78" s="23">
        <f>M77+H78+MAX(0,-E78)</f>
        <v/>
      </c>
      <c r="N78" s="23">
        <f>N77+MAX(0,E78)</f>
        <v/>
      </c>
    </row>
    <row r="79">
      <c r="A79" s="24" t="n">
        <v>78</v>
      </c>
      <c r="B79" s="25">
        <f>propPrice*(1+monthlyAppn)^A79</f>
        <v/>
      </c>
      <c r="C79" s="25">
        <f>IF(A79&gt;=startRentalMonth, initRent*(1+monthlyRentInf)^(A79-1), 0)</f>
        <v/>
      </c>
      <c r="D79" s="25">
        <f>initMaint*(1+monthlyRentInf)^(A79-1)</f>
        <v/>
      </c>
      <c r="E79" s="25">
        <f>C79*(1-vacancyPct)-D79</f>
        <v/>
      </c>
      <c r="F79" s="25">
        <f>I78</f>
        <v/>
      </c>
      <c r="G79" s="25">
        <f>IF(AND(F79&gt;0, A79&lt;=loanMonths), F79*rMonthly, 0)</f>
        <v/>
      </c>
      <c r="H79" s="25">
        <f>IF(AND(F79&gt;0, A79&lt;=loanMonths), EMI, 0)</f>
        <v/>
      </c>
      <c r="I79" s="25">
        <f>IF(AND(F79&gt;0, A79&lt;=loanMonths), MAX(0, F79-MIN(EMI-G79, F79)), F79)</f>
        <v/>
      </c>
      <c r="J79" s="25">
        <f>K78</f>
        <v/>
      </c>
      <c r="K79" s="25">
        <f>J79*(1+mfMo)+H79-E79</f>
        <v/>
      </c>
      <c r="L79" s="25">
        <f>L78+E79</f>
        <v/>
      </c>
      <c r="M79" s="25">
        <f>M78+H79+MAX(0,-E79)</f>
        <v/>
      </c>
      <c r="N79" s="25">
        <f>N78+MAX(0,E79)</f>
        <v/>
      </c>
    </row>
    <row r="80">
      <c r="A80" s="22" t="n">
        <v>79</v>
      </c>
      <c r="B80" s="23">
        <f>propPrice*(1+monthlyAppn)^A80</f>
        <v/>
      </c>
      <c r="C80" s="23">
        <f>IF(A80&gt;=startRentalMonth, initRent*(1+monthlyRentInf)^(A80-1), 0)</f>
        <v/>
      </c>
      <c r="D80" s="23">
        <f>initMaint*(1+monthlyRentInf)^(A80-1)</f>
        <v/>
      </c>
      <c r="E80" s="23">
        <f>C80*(1-vacancyPct)-D80</f>
        <v/>
      </c>
      <c r="F80" s="23">
        <f>I79</f>
        <v/>
      </c>
      <c r="G80" s="23">
        <f>IF(AND(F80&gt;0, A80&lt;=loanMonths), F80*rMonthly, 0)</f>
        <v/>
      </c>
      <c r="H80" s="23">
        <f>IF(AND(F80&gt;0, A80&lt;=loanMonths), EMI, 0)</f>
        <v/>
      </c>
      <c r="I80" s="23">
        <f>IF(AND(F80&gt;0, A80&lt;=loanMonths), MAX(0, F80-MIN(EMI-G80, F80)), F80)</f>
        <v/>
      </c>
      <c r="J80" s="23">
        <f>K79</f>
        <v/>
      </c>
      <c r="K80" s="23">
        <f>J80*(1+mfMo)+H80-E80</f>
        <v/>
      </c>
      <c r="L80" s="23">
        <f>L79+E80</f>
        <v/>
      </c>
      <c r="M80" s="23">
        <f>M79+H80+MAX(0,-E80)</f>
        <v/>
      </c>
      <c r="N80" s="23">
        <f>N79+MAX(0,E80)</f>
        <v/>
      </c>
    </row>
    <row r="81">
      <c r="A81" s="24" t="n">
        <v>80</v>
      </c>
      <c r="B81" s="25">
        <f>propPrice*(1+monthlyAppn)^A81</f>
        <v/>
      </c>
      <c r="C81" s="25">
        <f>IF(A81&gt;=startRentalMonth, initRent*(1+monthlyRentInf)^(A81-1), 0)</f>
        <v/>
      </c>
      <c r="D81" s="25">
        <f>initMaint*(1+monthlyRentInf)^(A81-1)</f>
        <v/>
      </c>
      <c r="E81" s="25">
        <f>C81*(1-vacancyPct)-D81</f>
        <v/>
      </c>
      <c r="F81" s="25">
        <f>I80</f>
        <v/>
      </c>
      <c r="G81" s="25">
        <f>IF(AND(F81&gt;0, A81&lt;=loanMonths), F81*rMonthly, 0)</f>
        <v/>
      </c>
      <c r="H81" s="25">
        <f>IF(AND(F81&gt;0, A81&lt;=loanMonths), EMI, 0)</f>
        <v/>
      </c>
      <c r="I81" s="25">
        <f>IF(AND(F81&gt;0, A81&lt;=loanMonths), MAX(0, F81-MIN(EMI-G81, F81)), F81)</f>
        <v/>
      </c>
      <c r="J81" s="25">
        <f>K80</f>
        <v/>
      </c>
      <c r="K81" s="25">
        <f>J81*(1+mfMo)+H81-E81</f>
        <v/>
      </c>
      <c r="L81" s="25">
        <f>L80+E81</f>
        <v/>
      </c>
      <c r="M81" s="25">
        <f>M80+H81+MAX(0,-E81)</f>
        <v/>
      </c>
      <c r="N81" s="25">
        <f>N80+MAX(0,E81)</f>
        <v/>
      </c>
    </row>
    <row r="82">
      <c r="A82" s="22" t="n">
        <v>81</v>
      </c>
      <c r="B82" s="23">
        <f>propPrice*(1+monthlyAppn)^A82</f>
        <v/>
      </c>
      <c r="C82" s="23">
        <f>IF(A82&gt;=startRentalMonth, initRent*(1+monthlyRentInf)^(A82-1), 0)</f>
        <v/>
      </c>
      <c r="D82" s="23">
        <f>initMaint*(1+monthlyRentInf)^(A82-1)</f>
        <v/>
      </c>
      <c r="E82" s="23">
        <f>C82*(1-vacancyPct)-D82</f>
        <v/>
      </c>
      <c r="F82" s="23">
        <f>I81</f>
        <v/>
      </c>
      <c r="G82" s="23">
        <f>IF(AND(F82&gt;0, A82&lt;=loanMonths), F82*rMonthly, 0)</f>
        <v/>
      </c>
      <c r="H82" s="23">
        <f>IF(AND(F82&gt;0, A82&lt;=loanMonths), EMI, 0)</f>
        <v/>
      </c>
      <c r="I82" s="23">
        <f>IF(AND(F82&gt;0, A82&lt;=loanMonths), MAX(0, F82-MIN(EMI-G82, F82)), F82)</f>
        <v/>
      </c>
      <c r="J82" s="23">
        <f>K81</f>
        <v/>
      </c>
      <c r="K82" s="23">
        <f>J82*(1+mfMo)+H82-E82</f>
        <v/>
      </c>
      <c r="L82" s="23">
        <f>L81+E82</f>
        <v/>
      </c>
      <c r="M82" s="23">
        <f>M81+H82+MAX(0,-E82)</f>
        <v/>
      </c>
      <c r="N82" s="23">
        <f>N81+MAX(0,E82)</f>
        <v/>
      </c>
    </row>
    <row r="83">
      <c r="A83" s="24" t="n">
        <v>82</v>
      </c>
      <c r="B83" s="25">
        <f>propPrice*(1+monthlyAppn)^A83</f>
        <v/>
      </c>
      <c r="C83" s="25">
        <f>IF(A83&gt;=startRentalMonth, initRent*(1+monthlyRentInf)^(A83-1), 0)</f>
        <v/>
      </c>
      <c r="D83" s="25">
        <f>initMaint*(1+monthlyRentInf)^(A83-1)</f>
        <v/>
      </c>
      <c r="E83" s="25">
        <f>C83*(1-vacancyPct)-D83</f>
        <v/>
      </c>
      <c r="F83" s="25">
        <f>I82</f>
        <v/>
      </c>
      <c r="G83" s="25">
        <f>IF(AND(F83&gt;0, A83&lt;=loanMonths), F83*rMonthly, 0)</f>
        <v/>
      </c>
      <c r="H83" s="25">
        <f>IF(AND(F83&gt;0, A83&lt;=loanMonths), EMI, 0)</f>
        <v/>
      </c>
      <c r="I83" s="25">
        <f>IF(AND(F83&gt;0, A83&lt;=loanMonths), MAX(0, F83-MIN(EMI-G83, F83)), F83)</f>
        <v/>
      </c>
      <c r="J83" s="25">
        <f>K82</f>
        <v/>
      </c>
      <c r="K83" s="25">
        <f>J83*(1+mfMo)+H83-E83</f>
        <v/>
      </c>
      <c r="L83" s="25">
        <f>L82+E83</f>
        <v/>
      </c>
      <c r="M83" s="25">
        <f>M82+H83+MAX(0,-E83)</f>
        <v/>
      </c>
      <c r="N83" s="25">
        <f>N82+MAX(0,E83)</f>
        <v/>
      </c>
    </row>
    <row r="84">
      <c r="A84" s="22" t="n">
        <v>83</v>
      </c>
      <c r="B84" s="23">
        <f>propPrice*(1+monthlyAppn)^A84</f>
        <v/>
      </c>
      <c r="C84" s="23">
        <f>IF(A84&gt;=startRentalMonth, initRent*(1+monthlyRentInf)^(A84-1), 0)</f>
        <v/>
      </c>
      <c r="D84" s="23">
        <f>initMaint*(1+monthlyRentInf)^(A84-1)</f>
        <v/>
      </c>
      <c r="E84" s="23">
        <f>C84*(1-vacancyPct)-D84</f>
        <v/>
      </c>
      <c r="F84" s="23">
        <f>I83</f>
        <v/>
      </c>
      <c r="G84" s="23">
        <f>IF(AND(F84&gt;0, A84&lt;=loanMonths), F84*rMonthly, 0)</f>
        <v/>
      </c>
      <c r="H84" s="23">
        <f>IF(AND(F84&gt;0, A84&lt;=loanMonths), EMI, 0)</f>
        <v/>
      </c>
      <c r="I84" s="23">
        <f>IF(AND(F84&gt;0, A84&lt;=loanMonths), MAX(0, F84-MIN(EMI-G84, F84)), F84)</f>
        <v/>
      </c>
      <c r="J84" s="23">
        <f>K83</f>
        <v/>
      </c>
      <c r="K84" s="23">
        <f>J84*(1+mfMo)+H84-E84</f>
        <v/>
      </c>
      <c r="L84" s="23">
        <f>L83+E84</f>
        <v/>
      </c>
      <c r="M84" s="23">
        <f>M83+H84+MAX(0,-E84)</f>
        <v/>
      </c>
      <c r="N84" s="23">
        <f>N83+MAX(0,E84)</f>
        <v/>
      </c>
    </row>
    <row r="85">
      <c r="A85" s="24" t="n">
        <v>84</v>
      </c>
      <c r="B85" s="25">
        <f>propPrice*(1+monthlyAppn)^A85</f>
        <v/>
      </c>
      <c r="C85" s="25">
        <f>IF(A85&gt;=startRentalMonth, initRent*(1+monthlyRentInf)^(A85-1), 0)</f>
        <v/>
      </c>
      <c r="D85" s="25">
        <f>initMaint*(1+monthlyRentInf)^(A85-1)</f>
        <v/>
      </c>
      <c r="E85" s="25">
        <f>C85*(1-vacancyPct)-D85</f>
        <v/>
      </c>
      <c r="F85" s="25">
        <f>I84</f>
        <v/>
      </c>
      <c r="G85" s="25">
        <f>IF(AND(F85&gt;0, A85&lt;=loanMonths), F85*rMonthly, 0)</f>
        <v/>
      </c>
      <c r="H85" s="25">
        <f>IF(AND(F85&gt;0, A85&lt;=loanMonths), EMI, 0)</f>
        <v/>
      </c>
      <c r="I85" s="25">
        <f>IF(AND(F85&gt;0, A85&lt;=loanMonths), MAX(0, F85-MIN(EMI-G85, F85)), F85)</f>
        <v/>
      </c>
      <c r="J85" s="25">
        <f>K84</f>
        <v/>
      </c>
      <c r="K85" s="25">
        <f>J85*(1+mfMo)+H85-E85</f>
        <v/>
      </c>
      <c r="L85" s="25">
        <f>L84+E85</f>
        <v/>
      </c>
      <c r="M85" s="25">
        <f>M84+H85+MAX(0,-E85)</f>
        <v/>
      </c>
      <c r="N85" s="25">
        <f>N84+MAX(0,E85)</f>
        <v/>
      </c>
    </row>
    <row r="86">
      <c r="A86" s="22" t="n">
        <v>85</v>
      </c>
      <c r="B86" s="23">
        <f>propPrice*(1+monthlyAppn)^A86</f>
        <v/>
      </c>
      <c r="C86" s="23">
        <f>IF(A86&gt;=startRentalMonth, initRent*(1+monthlyRentInf)^(A86-1), 0)</f>
        <v/>
      </c>
      <c r="D86" s="23">
        <f>initMaint*(1+monthlyRentInf)^(A86-1)</f>
        <v/>
      </c>
      <c r="E86" s="23">
        <f>C86*(1-vacancyPct)-D86</f>
        <v/>
      </c>
      <c r="F86" s="23">
        <f>I85</f>
        <v/>
      </c>
      <c r="G86" s="23">
        <f>IF(AND(F86&gt;0, A86&lt;=loanMonths), F86*rMonthly, 0)</f>
        <v/>
      </c>
      <c r="H86" s="23">
        <f>IF(AND(F86&gt;0, A86&lt;=loanMonths), EMI, 0)</f>
        <v/>
      </c>
      <c r="I86" s="23">
        <f>IF(AND(F86&gt;0, A86&lt;=loanMonths), MAX(0, F86-MIN(EMI-G86, F86)), F86)</f>
        <v/>
      </c>
      <c r="J86" s="23">
        <f>K85</f>
        <v/>
      </c>
      <c r="K86" s="23">
        <f>J86*(1+mfMo)+H86-E86</f>
        <v/>
      </c>
      <c r="L86" s="23">
        <f>L85+E86</f>
        <v/>
      </c>
      <c r="M86" s="23">
        <f>M85+H86+MAX(0,-E86)</f>
        <v/>
      </c>
      <c r="N86" s="23">
        <f>N85+MAX(0,E86)</f>
        <v/>
      </c>
    </row>
    <row r="87">
      <c r="A87" s="24" t="n">
        <v>86</v>
      </c>
      <c r="B87" s="25">
        <f>propPrice*(1+monthlyAppn)^A87</f>
        <v/>
      </c>
      <c r="C87" s="25">
        <f>IF(A87&gt;=startRentalMonth, initRent*(1+monthlyRentInf)^(A87-1), 0)</f>
        <v/>
      </c>
      <c r="D87" s="25">
        <f>initMaint*(1+monthlyRentInf)^(A87-1)</f>
        <v/>
      </c>
      <c r="E87" s="25">
        <f>C87*(1-vacancyPct)-D87</f>
        <v/>
      </c>
      <c r="F87" s="25">
        <f>I86</f>
        <v/>
      </c>
      <c r="G87" s="25">
        <f>IF(AND(F87&gt;0, A87&lt;=loanMonths), F87*rMonthly, 0)</f>
        <v/>
      </c>
      <c r="H87" s="25">
        <f>IF(AND(F87&gt;0, A87&lt;=loanMonths), EMI, 0)</f>
        <v/>
      </c>
      <c r="I87" s="25">
        <f>IF(AND(F87&gt;0, A87&lt;=loanMonths), MAX(0, F87-MIN(EMI-G87, F87)), F87)</f>
        <v/>
      </c>
      <c r="J87" s="25">
        <f>K86</f>
        <v/>
      </c>
      <c r="K87" s="25">
        <f>J87*(1+mfMo)+H87-E87</f>
        <v/>
      </c>
      <c r="L87" s="25">
        <f>L86+E87</f>
        <v/>
      </c>
      <c r="M87" s="25">
        <f>M86+H87+MAX(0,-E87)</f>
        <v/>
      </c>
      <c r="N87" s="25">
        <f>N86+MAX(0,E87)</f>
        <v/>
      </c>
    </row>
    <row r="88">
      <c r="A88" s="22" t="n">
        <v>87</v>
      </c>
      <c r="B88" s="23">
        <f>propPrice*(1+monthlyAppn)^A88</f>
        <v/>
      </c>
      <c r="C88" s="23">
        <f>IF(A88&gt;=startRentalMonth, initRent*(1+monthlyRentInf)^(A88-1), 0)</f>
        <v/>
      </c>
      <c r="D88" s="23">
        <f>initMaint*(1+monthlyRentInf)^(A88-1)</f>
        <v/>
      </c>
      <c r="E88" s="23">
        <f>C88*(1-vacancyPct)-D88</f>
        <v/>
      </c>
      <c r="F88" s="23">
        <f>I87</f>
        <v/>
      </c>
      <c r="G88" s="23">
        <f>IF(AND(F88&gt;0, A88&lt;=loanMonths), F88*rMonthly, 0)</f>
        <v/>
      </c>
      <c r="H88" s="23">
        <f>IF(AND(F88&gt;0, A88&lt;=loanMonths), EMI, 0)</f>
        <v/>
      </c>
      <c r="I88" s="23">
        <f>IF(AND(F88&gt;0, A88&lt;=loanMonths), MAX(0, F88-MIN(EMI-G88, F88)), F88)</f>
        <v/>
      </c>
      <c r="J88" s="23">
        <f>K87</f>
        <v/>
      </c>
      <c r="K88" s="23">
        <f>J88*(1+mfMo)+H88-E88</f>
        <v/>
      </c>
      <c r="L88" s="23">
        <f>L87+E88</f>
        <v/>
      </c>
      <c r="M88" s="23">
        <f>M87+H88+MAX(0,-E88)</f>
        <v/>
      </c>
      <c r="N88" s="23">
        <f>N87+MAX(0,E88)</f>
        <v/>
      </c>
    </row>
    <row r="89">
      <c r="A89" s="24" t="n">
        <v>88</v>
      </c>
      <c r="B89" s="25">
        <f>propPrice*(1+monthlyAppn)^A89</f>
        <v/>
      </c>
      <c r="C89" s="25">
        <f>IF(A89&gt;=startRentalMonth, initRent*(1+monthlyRentInf)^(A89-1), 0)</f>
        <v/>
      </c>
      <c r="D89" s="25">
        <f>initMaint*(1+monthlyRentInf)^(A89-1)</f>
        <v/>
      </c>
      <c r="E89" s="25">
        <f>C89*(1-vacancyPct)-D89</f>
        <v/>
      </c>
      <c r="F89" s="25">
        <f>I88</f>
        <v/>
      </c>
      <c r="G89" s="25">
        <f>IF(AND(F89&gt;0, A89&lt;=loanMonths), F89*rMonthly, 0)</f>
        <v/>
      </c>
      <c r="H89" s="25">
        <f>IF(AND(F89&gt;0, A89&lt;=loanMonths), EMI, 0)</f>
        <v/>
      </c>
      <c r="I89" s="25">
        <f>IF(AND(F89&gt;0, A89&lt;=loanMonths), MAX(0, F89-MIN(EMI-G89, F89)), F89)</f>
        <v/>
      </c>
      <c r="J89" s="25">
        <f>K88</f>
        <v/>
      </c>
      <c r="K89" s="25">
        <f>J89*(1+mfMo)+H89-E89</f>
        <v/>
      </c>
      <c r="L89" s="25">
        <f>L88+E89</f>
        <v/>
      </c>
      <c r="M89" s="25">
        <f>M88+H89+MAX(0,-E89)</f>
        <v/>
      </c>
      <c r="N89" s="25">
        <f>N88+MAX(0,E89)</f>
        <v/>
      </c>
    </row>
    <row r="90">
      <c r="A90" s="22" t="n">
        <v>89</v>
      </c>
      <c r="B90" s="23">
        <f>propPrice*(1+monthlyAppn)^A90</f>
        <v/>
      </c>
      <c r="C90" s="23">
        <f>IF(A90&gt;=startRentalMonth, initRent*(1+monthlyRentInf)^(A90-1), 0)</f>
        <v/>
      </c>
      <c r="D90" s="23">
        <f>initMaint*(1+monthlyRentInf)^(A90-1)</f>
        <v/>
      </c>
      <c r="E90" s="23">
        <f>C90*(1-vacancyPct)-D90</f>
        <v/>
      </c>
      <c r="F90" s="23">
        <f>I89</f>
        <v/>
      </c>
      <c r="G90" s="23">
        <f>IF(AND(F90&gt;0, A90&lt;=loanMonths), F90*rMonthly, 0)</f>
        <v/>
      </c>
      <c r="H90" s="23">
        <f>IF(AND(F90&gt;0, A90&lt;=loanMonths), EMI, 0)</f>
        <v/>
      </c>
      <c r="I90" s="23">
        <f>IF(AND(F90&gt;0, A90&lt;=loanMonths), MAX(0, F90-MIN(EMI-G90, F90)), F90)</f>
        <v/>
      </c>
      <c r="J90" s="23">
        <f>K89</f>
        <v/>
      </c>
      <c r="K90" s="23">
        <f>J90*(1+mfMo)+H90-E90</f>
        <v/>
      </c>
      <c r="L90" s="23">
        <f>L89+E90</f>
        <v/>
      </c>
      <c r="M90" s="23">
        <f>M89+H90+MAX(0,-E90)</f>
        <v/>
      </c>
      <c r="N90" s="23">
        <f>N89+MAX(0,E90)</f>
        <v/>
      </c>
    </row>
    <row r="91">
      <c r="A91" s="24" t="n">
        <v>90</v>
      </c>
      <c r="B91" s="25">
        <f>propPrice*(1+monthlyAppn)^A91</f>
        <v/>
      </c>
      <c r="C91" s="25">
        <f>IF(A91&gt;=startRentalMonth, initRent*(1+monthlyRentInf)^(A91-1), 0)</f>
        <v/>
      </c>
      <c r="D91" s="25">
        <f>initMaint*(1+monthlyRentInf)^(A91-1)</f>
        <v/>
      </c>
      <c r="E91" s="25">
        <f>C91*(1-vacancyPct)-D91</f>
        <v/>
      </c>
      <c r="F91" s="25">
        <f>I90</f>
        <v/>
      </c>
      <c r="G91" s="25">
        <f>IF(AND(F91&gt;0, A91&lt;=loanMonths), F91*rMonthly, 0)</f>
        <v/>
      </c>
      <c r="H91" s="25">
        <f>IF(AND(F91&gt;0, A91&lt;=loanMonths), EMI, 0)</f>
        <v/>
      </c>
      <c r="I91" s="25">
        <f>IF(AND(F91&gt;0, A91&lt;=loanMonths), MAX(0, F91-MIN(EMI-G91, F91)), F91)</f>
        <v/>
      </c>
      <c r="J91" s="25">
        <f>K90</f>
        <v/>
      </c>
      <c r="K91" s="25">
        <f>J91*(1+mfMo)+H91-E91</f>
        <v/>
      </c>
      <c r="L91" s="25">
        <f>L90+E91</f>
        <v/>
      </c>
      <c r="M91" s="25">
        <f>M90+H91+MAX(0,-E91)</f>
        <v/>
      </c>
      <c r="N91" s="25">
        <f>N90+MAX(0,E91)</f>
        <v/>
      </c>
    </row>
    <row r="92">
      <c r="A92" s="22" t="n">
        <v>91</v>
      </c>
      <c r="B92" s="23">
        <f>propPrice*(1+monthlyAppn)^A92</f>
        <v/>
      </c>
      <c r="C92" s="23">
        <f>IF(A92&gt;=startRentalMonth, initRent*(1+monthlyRentInf)^(A92-1), 0)</f>
        <v/>
      </c>
      <c r="D92" s="23">
        <f>initMaint*(1+monthlyRentInf)^(A92-1)</f>
        <v/>
      </c>
      <c r="E92" s="23">
        <f>C92*(1-vacancyPct)-D92</f>
        <v/>
      </c>
      <c r="F92" s="23">
        <f>I91</f>
        <v/>
      </c>
      <c r="G92" s="23">
        <f>IF(AND(F92&gt;0, A92&lt;=loanMonths), F92*rMonthly, 0)</f>
        <v/>
      </c>
      <c r="H92" s="23">
        <f>IF(AND(F92&gt;0, A92&lt;=loanMonths), EMI, 0)</f>
        <v/>
      </c>
      <c r="I92" s="23">
        <f>IF(AND(F92&gt;0, A92&lt;=loanMonths), MAX(0, F92-MIN(EMI-G92, F92)), F92)</f>
        <v/>
      </c>
      <c r="J92" s="23">
        <f>K91</f>
        <v/>
      </c>
      <c r="K92" s="23">
        <f>J92*(1+mfMo)+H92-E92</f>
        <v/>
      </c>
      <c r="L92" s="23">
        <f>L91+E92</f>
        <v/>
      </c>
      <c r="M92" s="23">
        <f>M91+H92+MAX(0,-E92)</f>
        <v/>
      </c>
      <c r="N92" s="23">
        <f>N91+MAX(0,E92)</f>
        <v/>
      </c>
    </row>
    <row r="93">
      <c r="A93" s="24" t="n">
        <v>92</v>
      </c>
      <c r="B93" s="25">
        <f>propPrice*(1+monthlyAppn)^A93</f>
        <v/>
      </c>
      <c r="C93" s="25">
        <f>IF(A93&gt;=startRentalMonth, initRent*(1+monthlyRentInf)^(A93-1), 0)</f>
        <v/>
      </c>
      <c r="D93" s="25">
        <f>initMaint*(1+monthlyRentInf)^(A93-1)</f>
        <v/>
      </c>
      <c r="E93" s="25">
        <f>C93*(1-vacancyPct)-D93</f>
        <v/>
      </c>
      <c r="F93" s="25">
        <f>I92</f>
        <v/>
      </c>
      <c r="G93" s="25">
        <f>IF(AND(F93&gt;0, A93&lt;=loanMonths), F93*rMonthly, 0)</f>
        <v/>
      </c>
      <c r="H93" s="25">
        <f>IF(AND(F93&gt;0, A93&lt;=loanMonths), EMI, 0)</f>
        <v/>
      </c>
      <c r="I93" s="25">
        <f>IF(AND(F93&gt;0, A93&lt;=loanMonths), MAX(0, F93-MIN(EMI-G93, F93)), F93)</f>
        <v/>
      </c>
      <c r="J93" s="25">
        <f>K92</f>
        <v/>
      </c>
      <c r="K93" s="25">
        <f>J93*(1+mfMo)+H93-E93</f>
        <v/>
      </c>
      <c r="L93" s="25">
        <f>L92+E93</f>
        <v/>
      </c>
      <c r="M93" s="25">
        <f>M92+H93+MAX(0,-E93)</f>
        <v/>
      </c>
      <c r="N93" s="25">
        <f>N92+MAX(0,E93)</f>
        <v/>
      </c>
    </row>
    <row r="94">
      <c r="A94" s="22" t="n">
        <v>93</v>
      </c>
      <c r="B94" s="23">
        <f>propPrice*(1+monthlyAppn)^A94</f>
        <v/>
      </c>
      <c r="C94" s="23">
        <f>IF(A94&gt;=startRentalMonth, initRent*(1+monthlyRentInf)^(A94-1), 0)</f>
        <v/>
      </c>
      <c r="D94" s="23">
        <f>initMaint*(1+monthlyRentInf)^(A94-1)</f>
        <v/>
      </c>
      <c r="E94" s="23">
        <f>C94*(1-vacancyPct)-D94</f>
        <v/>
      </c>
      <c r="F94" s="23">
        <f>I93</f>
        <v/>
      </c>
      <c r="G94" s="23">
        <f>IF(AND(F94&gt;0, A94&lt;=loanMonths), F94*rMonthly, 0)</f>
        <v/>
      </c>
      <c r="H94" s="23">
        <f>IF(AND(F94&gt;0, A94&lt;=loanMonths), EMI, 0)</f>
        <v/>
      </c>
      <c r="I94" s="23">
        <f>IF(AND(F94&gt;0, A94&lt;=loanMonths), MAX(0, F94-MIN(EMI-G94, F94)), F94)</f>
        <v/>
      </c>
      <c r="J94" s="23">
        <f>K93</f>
        <v/>
      </c>
      <c r="K94" s="23">
        <f>J94*(1+mfMo)+H94-E94</f>
        <v/>
      </c>
      <c r="L94" s="23">
        <f>L93+E94</f>
        <v/>
      </c>
      <c r="M94" s="23">
        <f>M93+H94+MAX(0,-E94)</f>
        <v/>
      </c>
      <c r="N94" s="23">
        <f>N93+MAX(0,E94)</f>
        <v/>
      </c>
    </row>
    <row r="95">
      <c r="A95" s="24" t="n">
        <v>94</v>
      </c>
      <c r="B95" s="25">
        <f>propPrice*(1+monthlyAppn)^A95</f>
        <v/>
      </c>
      <c r="C95" s="25">
        <f>IF(A95&gt;=startRentalMonth, initRent*(1+monthlyRentInf)^(A95-1), 0)</f>
        <v/>
      </c>
      <c r="D95" s="25">
        <f>initMaint*(1+monthlyRentInf)^(A95-1)</f>
        <v/>
      </c>
      <c r="E95" s="25">
        <f>C95*(1-vacancyPct)-D95</f>
        <v/>
      </c>
      <c r="F95" s="25">
        <f>I94</f>
        <v/>
      </c>
      <c r="G95" s="25">
        <f>IF(AND(F95&gt;0, A95&lt;=loanMonths), F95*rMonthly, 0)</f>
        <v/>
      </c>
      <c r="H95" s="25">
        <f>IF(AND(F95&gt;0, A95&lt;=loanMonths), EMI, 0)</f>
        <v/>
      </c>
      <c r="I95" s="25">
        <f>IF(AND(F95&gt;0, A95&lt;=loanMonths), MAX(0, F95-MIN(EMI-G95, F95)), F95)</f>
        <v/>
      </c>
      <c r="J95" s="25">
        <f>K94</f>
        <v/>
      </c>
      <c r="K95" s="25">
        <f>J95*(1+mfMo)+H95-E95</f>
        <v/>
      </c>
      <c r="L95" s="25">
        <f>L94+E95</f>
        <v/>
      </c>
      <c r="M95" s="25">
        <f>M94+H95+MAX(0,-E95)</f>
        <v/>
      </c>
      <c r="N95" s="25">
        <f>N94+MAX(0,E95)</f>
        <v/>
      </c>
    </row>
    <row r="96">
      <c r="A96" s="22" t="n">
        <v>95</v>
      </c>
      <c r="B96" s="23">
        <f>propPrice*(1+monthlyAppn)^A96</f>
        <v/>
      </c>
      <c r="C96" s="23">
        <f>IF(A96&gt;=startRentalMonth, initRent*(1+monthlyRentInf)^(A96-1), 0)</f>
        <v/>
      </c>
      <c r="D96" s="23">
        <f>initMaint*(1+monthlyRentInf)^(A96-1)</f>
        <v/>
      </c>
      <c r="E96" s="23">
        <f>C96*(1-vacancyPct)-D96</f>
        <v/>
      </c>
      <c r="F96" s="23">
        <f>I95</f>
        <v/>
      </c>
      <c r="G96" s="23">
        <f>IF(AND(F96&gt;0, A96&lt;=loanMonths), F96*rMonthly, 0)</f>
        <v/>
      </c>
      <c r="H96" s="23">
        <f>IF(AND(F96&gt;0, A96&lt;=loanMonths), EMI, 0)</f>
        <v/>
      </c>
      <c r="I96" s="23">
        <f>IF(AND(F96&gt;0, A96&lt;=loanMonths), MAX(0, F96-MIN(EMI-G96, F96)), F96)</f>
        <v/>
      </c>
      <c r="J96" s="23">
        <f>K95</f>
        <v/>
      </c>
      <c r="K96" s="23">
        <f>J96*(1+mfMo)+H96-E96</f>
        <v/>
      </c>
      <c r="L96" s="23">
        <f>L95+E96</f>
        <v/>
      </c>
      <c r="M96" s="23">
        <f>M95+H96+MAX(0,-E96)</f>
        <v/>
      </c>
      <c r="N96" s="23">
        <f>N95+MAX(0,E96)</f>
        <v/>
      </c>
    </row>
    <row r="97">
      <c r="A97" s="24" t="n">
        <v>96</v>
      </c>
      <c r="B97" s="25">
        <f>propPrice*(1+monthlyAppn)^A97</f>
        <v/>
      </c>
      <c r="C97" s="25">
        <f>IF(A97&gt;=startRentalMonth, initRent*(1+monthlyRentInf)^(A97-1), 0)</f>
        <v/>
      </c>
      <c r="D97" s="25">
        <f>initMaint*(1+monthlyRentInf)^(A97-1)</f>
        <v/>
      </c>
      <c r="E97" s="25">
        <f>C97*(1-vacancyPct)-D97</f>
        <v/>
      </c>
      <c r="F97" s="25">
        <f>I96</f>
        <v/>
      </c>
      <c r="G97" s="25">
        <f>IF(AND(F97&gt;0, A97&lt;=loanMonths), F97*rMonthly, 0)</f>
        <v/>
      </c>
      <c r="H97" s="25">
        <f>IF(AND(F97&gt;0, A97&lt;=loanMonths), EMI, 0)</f>
        <v/>
      </c>
      <c r="I97" s="25">
        <f>IF(AND(F97&gt;0, A97&lt;=loanMonths), MAX(0, F97-MIN(EMI-G97, F97)), F97)</f>
        <v/>
      </c>
      <c r="J97" s="25">
        <f>K96</f>
        <v/>
      </c>
      <c r="K97" s="25">
        <f>J97*(1+mfMo)+H97-E97</f>
        <v/>
      </c>
      <c r="L97" s="25">
        <f>L96+E97</f>
        <v/>
      </c>
      <c r="M97" s="25">
        <f>M96+H97+MAX(0,-E97)</f>
        <v/>
      </c>
      <c r="N97" s="25">
        <f>N96+MAX(0,E97)</f>
        <v/>
      </c>
    </row>
    <row r="98">
      <c r="A98" s="22" t="n">
        <v>97</v>
      </c>
      <c r="B98" s="23">
        <f>propPrice*(1+monthlyAppn)^A98</f>
        <v/>
      </c>
      <c r="C98" s="23">
        <f>IF(A98&gt;=startRentalMonth, initRent*(1+monthlyRentInf)^(A98-1), 0)</f>
        <v/>
      </c>
      <c r="D98" s="23">
        <f>initMaint*(1+monthlyRentInf)^(A98-1)</f>
        <v/>
      </c>
      <c r="E98" s="23">
        <f>C98*(1-vacancyPct)-D98</f>
        <v/>
      </c>
      <c r="F98" s="23">
        <f>I97</f>
        <v/>
      </c>
      <c r="G98" s="23">
        <f>IF(AND(F98&gt;0, A98&lt;=loanMonths), F98*rMonthly, 0)</f>
        <v/>
      </c>
      <c r="H98" s="23">
        <f>IF(AND(F98&gt;0, A98&lt;=loanMonths), EMI, 0)</f>
        <v/>
      </c>
      <c r="I98" s="23">
        <f>IF(AND(F98&gt;0, A98&lt;=loanMonths), MAX(0, F98-MIN(EMI-G98, F98)), F98)</f>
        <v/>
      </c>
      <c r="J98" s="23">
        <f>K97</f>
        <v/>
      </c>
      <c r="K98" s="23">
        <f>J98*(1+mfMo)+H98-E98</f>
        <v/>
      </c>
      <c r="L98" s="23">
        <f>L97+E98</f>
        <v/>
      </c>
      <c r="M98" s="23">
        <f>M97+H98+MAX(0,-E98)</f>
        <v/>
      </c>
      <c r="N98" s="23">
        <f>N97+MAX(0,E98)</f>
        <v/>
      </c>
    </row>
    <row r="99">
      <c r="A99" s="24" t="n">
        <v>98</v>
      </c>
      <c r="B99" s="25">
        <f>propPrice*(1+monthlyAppn)^A99</f>
        <v/>
      </c>
      <c r="C99" s="25">
        <f>IF(A99&gt;=startRentalMonth, initRent*(1+monthlyRentInf)^(A99-1), 0)</f>
        <v/>
      </c>
      <c r="D99" s="25">
        <f>initMaint*(1+monthlyRentInf)^(A99-1)</f>
        <v/>
      </c>
      <c r="E99" s="25">
        <f>C99*(1-vacancyPct)-D99</f>
        <v/>
      </c>
      <c r="F99" s="25">
        <f>I98</f>
        <v/>
      </c>
      <c r="G99" s="25">
        <f>IF(AND(F99&gt;0, A99&lt;=loanMonths), F99*rMonthly, 0)</f>
        <v/>
      </c>
      <c r="H99" s="25">
        <f>IF(AND(F99&gt;0, A99&lt;=loanMonths), EMI, 0)</f>
        <v/>
      </c>
      <c r="I99" s="25">
        <f>IF(AND(F99&gt;0, A99&lt;=loanMonths), MAX(0, F99-MIN(EMI-G99, F99)), F99)</f>
        <v/>
      </c>
      <c r="J99" s="25">
        <f>K98</f>
        <v/>
      </c>
      <c r="K99" s="25">
        <f>J99*(1+mfMo)+H99-E99</f>
        <v/>
      </c>
      <c r="L99" s="25">
        <f>L98+E99</f>
        <v/>
      </c>
      <c r="M99" s="25">
        <f>M98+H99+MAX(0,-E99)</f>
        <v/>
      </c>
      <c r="N99" s="25">
        <f>N98+MAX(0,E99)</f>
        <v/>
      </c>
    </row>
    <row r="100">
      <c r="A100" s="22" t="n">
        <v>99</v>
      </c>
      <c r="B100" s="23">
        <f>propPrice*(1+monthlyAppn)^A100</f>
        <v/>
      </c>
      <c r="C100" s="23">
        <f>IF(A100&gt;=startRentalMonth, initRent*(1+monthlyRentInf)^(A100-1), 0)</f>
        <v/>
      </c>
      <c r="D100" s="23">
        <f>initMaint*(1+monthlyRentInf)^(A100-1)</f>
        <v/>
      </c>
      <c r="E100" s="23">
        <f>C100*(1-vacancyPct)-D100</f>
        <v/>
      </c>
      <c r="F100" s="23">
        <f>I99</f>
        <v/>
      </c>
      <c r="G100" s="23">
        <f>IF(AND(F100&gt;0, A100&lt;=loanMonths), F100*rMonthly, 0)</f>
        <v/>
      </c>
      <c r="H100" s="23">
        <f>IF(AND(F100&gt;0, A100&lt;=loanMonths), EMI, 0)</f>
        <v/>
      </c>
      <c r="I100" s="23">
        <f>IF(AND(F100&gt;0, A100&lt;=loanMonths), MAX(0, F100-MIN(EMI-G100, F100)), F100)</f>
        <v/>
      </c>
      <c r="J100" s="23">
        <f>K99</f>
        <v/>
      </c>
      <c r="K100" s="23">
        <f>J100*(1+mfMo)+H100-E100</f>
        <v/>
      </c>
      <c r="L100" s="23">
        <f>L99+E100</f>
        <v/>
      </c>
      <c r="M100" s="23">
        <f>M99+H100+MAX(0,-E100)</f>
        <v/>
      </c>
      <c r="N100" s="23">
        <f>N99+MAX(0,E100)</f>
        <v/>
      </c>
    </row>
    <row r="101">
      <c r="A101" s="24" t="n">
        <v>100</v>
      </c>
      <c r="B101" s="25">
        <f>propPrice*(1+monthlyAppn)^A101</f>
        <v/>
      </c>
      <c r="C101" s="25">
        <f>IF(A101&gt;=startRentalMonth, initRent*(1+monthlyRentInf)^(A101-1), 0)</f>
        <v/>
      </c>
      <c r="D101" s="25">
        <f>initMaint*(1+monthlyRentInf)^(A101-1)</f>
        <v/>
      </c>
      <c r="E101" s="25">
        <f>C101*(1-vacancyPct)-D101</f>
        <v/>
      </c>
      <c r="F101" s="25">
        <f>I100</f>
        <v/>
      </c>
      <c r="G101" s="25">
        <f>IF(AND(F101&gt;0, A101&lt;=loanMonths), F101*rMonthly, 0)</f>
        <v/>
      </c>
      <c r="H101" s="25">
        <f>IF(AND(F101&gt;0, A101&lt;=loanMonths), EMI, 0)</f>
        <v/>
      </c>
      <c r="I101" s="25">
        <f>IF(AND(F101&gt;0, A101&lt;=loanMonths), MAX(0, F101-MIN(EMI-G101, F101)), F101)</f>
        <v/>
      </c>
      <c r="J101" s="25">
        <f>K100</f>
        <v/>
      </c>
      <c r="K101" s="25">
        <f>J101*(1+mfMo)+H101-E101</f>
        <v/>
      </c>
      <c r="L101" s="25">
        <f>L100+E101</f>
        <v/>
      </c>
      <c r="M101" s="25">
        <f>M100+H101+MAX(0,-E101)</f>
        <v/>
      </c>
      <c r="N101" s="25">
        <f>N100+MAX(0,E101)</f>
        <v/>
      </c>
    </row>
    <row r="102">
      <c r="A102" s="22" t="n">
        <v>101</v>
      </c>
      <c r="B102" s="23">
        <f>propPrice*(1+monthlyAppn)^A102</f>
        <v/>
      </c>
      <c r="C102" s="23">
        <f>IF(A102&gt;=startRentalMonth, initRent*(1+monthlyRentInf)^(A102-1), 0)</f>
        <v/>
      </c>
      <c r="D102" s="23">
        <f>initMaint*(1+monthlyRentInf)^(A102-1)</f>
        <v/>
      </c>
      <c r="E102" s="23">
        <f>C102*(1-vacancyPct)-D102</f>
        <v/>
      </c>
      <c r="F102" s="23">
        <f>I101</f>
        <v/>
      </c>
      <c r="G102" s="23">
        <f>IF(AND(F102&gt;0, A102&lt;=loanMonths), F102*rMonthly, 0)</f>
        <v/>
      </c>
      <c r="H102" s="23">
        <f>IF(AND(F102&gt;0, A102&lt;=loanMonths), EMI, 0)</f>
        <v/>
      </c>
      <c r="I102" s="23">
        <f>IF(AND(F102&gt;0, A102&lt;=loanMonths), MAX(0, F102-MIN(EMI-G102, F102)), F102)</f>
        <v/>
      </c>
      <c r="J102" s="23">
        <f>K101</f>
        <v/>
      </c>
      <c r="K102" s="23">
        <f>J102*(1+mfMo)+H102-E102</f>
        <v/>
      </c>
      <c r="L102" s="23">
        <f>L101+E102</f>
        <v/>
      </c>
      <c r="M102" s="23">
        <f>M101+H102+MAX(0,-E102)</f>
        <v/>
      </c>
      <c r="N102" s="23">
        <f>N101+MAX(0,E102)</f>
        <v/>
      </c>
    </row>
    <row r="103">
      <c r="A103" s="24" t="n">
        <v>102</v>
      </c>
      <c r="B103" s="25">
        <f>propPrice*(1+monthlyAppn)^A103</f>
        <v/>
      </c>
      <c r="C103" s="25">
        <f>IF(A103&gt;=startRentalMonth, initRent*(1+monthlyRentInf)^(A103-1), 0)</f>
        <v/>
      </c>
      <c r="D103" s="25">
        <f>initMaint*(1+monthlyRentInf)^(A103-1)</f>
        <v/>
      </c>
      <c r="E103" s="25">
        <f>C103*(1-vacancyPct)-D103</f>
        <v/>
      </c>
      <c r="F103" s="25">
        <f>I102</f>
        <v/>
      </c>
      <c r="G103" s="25">
        <f>IF(AND(F103&gt;0, A103&lt;=loanMonths), F103*rMonthly, 0)</f>
        <v/>
      </c>
      <c r="H103" s="25">
        <f>IF(AND(F103&gt;0, A103&lt;=loanMonths), EMI, 0)</f>
        <v/>
      </c>
      <c r="I103" s="25">
        <f>IF(AND(F103&gt;0, A103&lt;=loanMonths), MAX(0, F103-MIN(EMI-G103, F103)), F103)</f>
        <v/>
      </c>
      <c r="J103" s="25">
        <f>K102</f>
        <v/>
      </c>
      <c r="K103" s="25">
        <f>J103*(1+mfMo)+H103-E103</f>
        <v/>
      </c>
      <c r="L103" s="25">
        <f>L102+E103</f>
        <v/>
      </c>
      <c r="M103" s="25">
        <f>M102+H103+MAX(0,-E103)</f>
        <v/>
      </c>
      <c r="N103" s="25">
        <f>N102+MAX(0,E103)</f>
        <v/>
      </c>
    </row>
    <row r="104">
      <c r="A104" s="22" t="n">
        <v>103</v>
      </c>
      <c r="B104" s="23">
        <f>propPrice*(1+monthlyAppn)^A104</f>
        <v/>
      </c>
      <c r="C104" s="23">
        <f>IF(A104&gt;=startRentalMonth, initRent*(1+monthlyRentInf)^(A104-1), 0)</f>
        <v/>
      </c>
      <c r="D104" s="23">
        <f>initMaint*(1+monthlyRentInf)^(A104-1)</f>
        <v/>
      </c>
      <c r="E104" s="23">
        <f>C104*(1-vacancyPct)-D104</f>
        <v/>
      </c>
      <c r="F104" s="23">
        <f>I103</f>
        <v/>
      </c>
      <c r="G104" s="23">
        <f>IF(AND(F104&gt;0, A104&lt;=loanMonths), F104*rMonthly, 0)</f>
        <v/>
      </c>
      <c r="H104" s="23">
        <f>IF(AND(F104&gt;0, A104&lt;=loanMonths), EMI, 0)</f>
        <v/>
      </c>
      <c r="I104" s="23">
        <f>IF(AND(F104&gt;0, A104&lt;=loanMonths), MAX(0, F104-MIN(EMI-G104, F104)), F104)</f>
        <v/>
      </c>
      <c r="J104" s="23">
        <f>K103</f>
        <v/>
      </c>
      <c r="K104" s="23">
        <f>J104*(1+mfMo)+H104-E104</f>
        <v/>
      </c>
      <c r="L104" s="23">
        <f>L103+E104</f>
        <v/>
      </c>
      <c r="M104" s="23">
        <f>M103+H104+MAX(0,-E104)</f>
        <v/>
      </c>
      <c r="N104" s="23">
        <f>N103+MAX(0,E104)</f>
        <v/>
      </c>
    </row>
    <row r="105">
      <c r="A105" s="24" t="n">
        <v>104</v>
      </c>
      <c r="B105" s="25">
        <f>propPrice*(1+monthlyAppn)^A105</f>
        <v/>
      </c>
      <c r="C105" s="25">
        <f>IF(A105&gt;=startRentalMonth, initRent*(1+monthlyRentInf)^(A105-1), 0)</f>
        <v/>
      </c>
      <c r="D105" s="25">
        <f>initMaint*(1+monthlyRentInf)^(A105-1)</f>
        <v/>
      </c>
      <c r="E105" s="25">
        <f>C105*(1-vacancyPct)-D105</f>
        <v/>
      </c>
      <c r="F105" s="25">
        <f>I104</f>
        <v/>
      </c>
      <c r="G105" s="25">
        <f>IF(AND(F105&gt;0, A105&lt;=loanMonths), F105*rMonthly, 0)</f>
        <v/>
      </c>
      <c r="H105" s="25">
        <f>IF(AND(F105&gt;0, A105&lt;=loanMonths), EMI, 0)</f>
        <v/>
      </c>
      <c r="I105" s="25">
        <f>IF(AND(F105&gt;0, A105&lt;=loanMonths), MAX(0, F105-MIN(EMI-G105, F105)), F105)</f>
        <v/>
      </c>
      <c r="J105" s="25">
        <f>K104</f>
        <v/>
      </c>
      <c r="K105" s="25">
        <f>J105*(1+mfMo)+H105-E105</f>
        <v/>
      </c>
      <c r="L105" s="25">
        <f>L104+E105</f>
        <v/>
      </c>
      <c r="M105" s="25">
        <f>M104+H105+MAX(0,-E105)</f>
        <v/>
      </c>
      <c r="N105" s="25">
        <f>N104+MAX(0,E105)</f>
        <v/>
      </c>
    </row>
    <row r="106">
      <c r="A106" s="22" t="n">
        <v>105</v>
      </c>
      <c r="B106" s="23">
        <f>propPrice*(1+monthlyAppn)^A106</f>
        <v/>
      </c>
      <c r="C106" s="23">
        <f>IF(A106&gt;=startRentalMonth, initRent*(1+monthlyRentInf)^(A106-1), 0)</f>
        <v/>
      </c>
      <c r="D106" s="23">
        <f>initMaint*(1+monthlyRentInf)^(A106-1)</f>
        <v/>
      </c>
      <c r="E106" s="23">
        <f>C106*(1-vacancyPct)-D106</f>
        <v/>
      </c>
      <c r="F106" s="23">
        <f>I105</f>
        <v/>
      </c>
      <c r="G106" s="23">
        <f>IF(AND(F106&gt;0, A106&lt;=loanMonths), F106*rMonthly, 0)</f>
        <v/>
      </c>
      <c r="H106" s="23">
        <f>IF(AND(F106&gt;0, A106&lt;=loanMonths), EMI, 0)</f>
        <v/>
      </c>
      <c r="I106" s="23">
        <f>IF(AND(F106&gt;0, A106&lt;=loanMonths), MAX(0, F106-MIN(EMI-G106, F106)), F106)</f>
        <v/>
      </c>
      <c r="J106" s="23">
        <f>K105</f>
        <v/>
      </c>
      <c r="K106" s="23">
        <f>J106*(1+mfMo)+H106-E106</f>
        <v/>
      </c>
      <c r="L106" s="23">
        <f>L105+E106</f>
        <v/>
      </c>
      <c r="M106" s="23">
        <f>M105+H106+MAX(0,-E106)</f>
        <v/>
      </c>
      <c r="N106" s="23">
        <f>N105+MAX(0,E106)</f>
        <v/>
      </c>
    </row>
    <row r="107">
      <c r="A107" s="24" t="n">
        <v>106</v>
      </c>
      <c r="B107" s="25">
        <f>propPrice*(1+monthlyAppn)^A107</f>
        <v/>
      </c>
      <c r="C107" s="25">
        <f>IF(A107&gt;=startRentalMonth, initRent*(1+monthlyRentInf)^(A107-1), 0)</f>
        <v/>
      </c>
      <c r="D107" s="25">
        <f>initMaint*(1+monthlyRentInf)^(A107-1)</f>
        <v/>
      </c>
      <c r="E107" s="25">
        <f>C107*(1-vacancyPct)-D107</f>
        <v/>
      </c>
      <c r="F107" s="25">
        <f>I106</f>
        <v/>
      </c>
      <c r="G107" s="25">
        <f>IF(AND(F107&gt;0, A107&lt;=loanMonths), F107*rMonthly, 0)</f>
        <v/>
      </c>
      <c r="H107" s="25">
        <f>IF(AND(F107&gt;0, A107&lt;=loanMonths), EMI, 0)</f>
        <v/>
      </c>
      <c r="I107" s="25">
        <f>IF(AND(F107&gt;0, A107&lt;=loanMonths), MAX(0, F107-MIN(EMI-G107, F107)), F107)</f>
        <v/>
      </c>
      <c r="J107" s="25">
        <f>K106</f>
        <v/>
      </c>
      <c r="K107" s="25">
        <f>J107*(1+mfMo)+H107-E107</f>
        <v/>
      </c>
      <c r="L107" s="25">
        <f>L106+E107</f>
        <v/>
      </c>
      <c r="M107" s="25">
        <f>M106+H107+MAX(0,-E107)</f>
        <v/>
      </c>
      <c r="N107" s="25">
        <f>N106+MAX(0,E107)</f>
        <v/>
      </c>
    </row>
    <row r="108">
      <c r="A108" s="22" t="n">
        <v>107</v>
      </c>
      <c r="B108" s="23">
        <f>propPrice*(1+monthlyAppn)^A108</f>
        <v/>
      </c>
      <c r="C108" s="23">
        <f>IF(A108&gt;=startRentalMonth, initRent*(1+monthlyRentInf)^(A108-1), 0)</f>
        <v/>
      </c>
      <c r="D108" s="23">
        <f>initMaint*(1+monthlyRentInf)^(A108-1)</f>
        <v/>
      </c>
      <c r="E108" s="23">
        <f>C108*(1-vacancyPct)-D108</f>
        <v/>
      </c>
      <c r="F108" s="23">
        <f>I107</f>
        <v/>
      </c>
      <c r="G108" s="23">
        <f>IF(AND(F108&gt;0, A108&lt;=loanMonths), F108*rMonthly, 0)</f>
        <v/>
      </c>
      <c r="H108" s="23">
        <f>IF(AND(F108&gt;0, A108&lt;=loanMonths), EMI, 0)</f>
        <v/>
      </c>
      <c r="I108" s="23">
        <f>IF(AND(F108&gt;0, A108&lt;=loanMonths), MAX(0, F108-MIN(EMI-G108, F108)), F108)</f>
        <v/>
      </c>
      <c r="J108" s="23">
        <f>K107</f>
        <v/>
      </c>
      <c r="K108" s="23">
        <f>J108*(1+mfMo)+H108-E108</f>
        <v/>
      </c>
      <c r="L108" s="23">
        <f>L107+E108</f>
        <v/>
      </c>
      <c r="M108" s="23">
        <f>M107+H108+MAX(0,-E108)</f>
        <v/>
      </c>
      <c r="N108" s="23">
        <f>N107+MAX(0,E108)</f>
        <v/>
      </c>
    </row>
    <row r="109">
      <c r="A109" s="24" t="n">
        <v>108</v>
      </c>
      <c r="B109" s="25">
        <f>propPrice*(1+monthlyAppn)^A109</f>
        <v/>
      </c>
      <c r="C109" s="25">
        <f>IF(A109&gt;=startRentalMonth, initRent*(1+monthlyRentInf)^(A109-1), 0)</f>
        <v/>
      </c>
      <c r="D109" s="25">
        <f>initMaint*(1+monthlyRentInf)^(A109-1)</f>
        <v/>
      </c>
      <c r="E109" s="25">
        <f>C109*(1-vacancyPct)-D109</f>
        <v/>
      </c>
      <c r="F109" s="25">
        <f>I108</f>
        <v/>
      </c>
      <c r="G109" s="25">
        <f>IF(AND(F109&gt;0, A109&lt;=loanMonths), F109*rMonthly, 0)</f>
        <v/>
      </c>
      <c r="H109" s="25">
        <f>IF(AND(F109&gt;0, A109&lt;=loanMonths), EMI, 0)</f>
        <v/>
      </c>
      <c r="I109" s="25">
        <f>IF(AND(F109&gt;0, A109&lt;=loanMonths), MAX(0, F109-MIN(EMI-G109, F109)), F109)</f>
        <v/>
      </c>
      <c r="J109" s="25">
        <f>K108</f>
        <v/>
      </c>
      <c r="K109" s="25">
        <f>J109*(1+mfMo)+H109-E109</f>
        <v/>
      </c>
      <c r="L109" s="25">
        <f>L108+E109</f>
        <v/>
      </c>
      <c r="M109" s="25">
        <f>M108+H109+MAX(0,-E109)</f>
        <v/>
      </c>
      <c r="N109" s="25">
        <f>N108+MAX(0,E109)</f>
        <v/>
      </c>
    </row>
    <row r="110">
      <c r="A110" s="22" t="n">
        <v>109</v>
      </c>
      <c r="B110" s="23">
        <f>propPrice*(1+monthlyAppn)^A110</f>
        <v/>
      </c>
      <c r="C110" s="23">
        <f>IF(A110&gt;=startRentalMonth, initRent*(1+monthlyRentInf)^(A110-1), 0)</f>
        <v/>
      </c>
      <c r="D110" s="23">
        <f>initMaint*(1+monthlyRentInf)^(A110-1)</f>
        <v/>
      </c>
      <c r="E110" s="23">
        <f>C110*(1-vacancyPct)-D110</f>
        <v/>
      </c>
      <c r="F110" s="23">
        <f>I109</f>
        <v/>
      </c>
      <c r="G110" s="23">
        <f>IF(AND(F110&gt;0, A110&lt;=loanMonths), F110*rMonthly, 0)</f>
        <v/>
      </c>
      <c r="H110" s="23">
        <f>IF(AND(F110&gt;0, A110&lt;=loanMonths), EMI, 0)</f>
        <v/>
      </c>
      <c r="I110" s="23">
        <f>IF(AND(F110&gt;0, A110&lt;=loanMonths), MAX(0, F110-MIN(EMI-G110, F110)), F110)</f>
        <v/>
      </c>
      <c r="J110" s="23">
        <f>K109</f>
        <v/>
      </c>
      <c r="K110" s="23">
        <f>J110*(1+mfMo)+H110-E110</f>
        <v/>
      </c>
      <c r="L110" s="23">
        <f>L109+E110</f>
        <v/>
      </c>
      <c r="M110" s="23">
        <f>M109+H110+MAX(0,-E110)</f>
        <v/>
      </c>
      <c r="N110" s="23">
        <f>N109+MAX(0,E110)</f>
        <v/>
      </c>
    </row>
    <row r="111">
      <c r="A111" s="24" t="n">
        <v>110</v>
      </c>
      <c r="B111" s="25">
        <f>propPrice*(1+monthlyAppn)^A111</f>
        <v/>
      </c>
      <c r="C111" s="25">
        <f>IF(A111&gt;=startRentalMonth, initRent*(1+monthlyRentInf)^(A111-1), 0)</f>
        <v/>
      </c>
      <c r="D111" s="25">
        <f>initMaint*(1+monthlyRentInf)^(A111-1)</f>
        <v/>
      </c>
      <c r="E111" s="25">
        <f>C111*(1-vacancyPct)-D111</f>
        <v/>
      </c>
      <c r="F111" s="25">
        <f>I110</f>
        <v/>
      </c>
      <c r="G111" s="25">
        <f>IF(AND(F111&gt;0, A111&lt;=loanMonths), F111*rMonthly, 0)</f>
        <v/>
      </c>
      <c r="H111" s="25">
        <f>IF(AND(F111&gt;0, A111&lt;=loanMonths), EMI, 0)</f>
        <v/>
      </c>
      <c r="I111" s="25">
        <f>IF(AND(F111&gt;0, A111&lt;=loanMonths), MAX(0, F111-MIN(EMI-G111, F111)), F111)</f>
        <v/>
      </c>
      <c r="J111" s="25">
        <f>K110</f>
        <v/>
      </c>
      <c r="K111" s="25">
        <f>J111*(1+mfMo)+H111-E111</f>
        <v/>
      </c>
      <c r="L111" s="25">
        <f>L110+E111</f>
        <v/>
      </c>
      <c r="M111" s="25">
        <f>M110+H111+MAX(0,-E111)</f>
        <v/>
      </c>
      <c r="N111" s="25">
        <f>N110+MAX(0,E111)</f>
        <v/>
      </c>
    </row>
    <row r="112">
      <c r="A112" s="22" t="n">
        <v>111</v>
      </c>
      <c r="B112" s="23">
        <f>propPrice*(1+monthlyAppn)^A112</f>
        <v/>
      </c>
      <c r="C112" s="23">
        <f>IF(A112&gt;=startRentalMonth, initRent*(1+monthlyRentInf)^(A112-1), 0)</f>
        <v/>
      </c>
      <c r="D112" s="23">
        <f>initMaint*(1+monthlyRentInf)^(A112-1)</f>
        <v/>
      </c>
      <c r="E112" s="23">
        <f>C112*(1-vacancyPct)-D112</f>
        <v/>
      </c>
      <c r="F112" s="23">
        <f>I111</f>
        <v/>
      </c>
      <c r="G112" s="23">
        <f>IF(AND(F112&gt;0, A112&lt;=loanMonths), F112*rMonthly, 0)</f>
        <v/>
      </c>
      <c r="H112" s="23">
        <f>IF(AND(F112&gt;0, A112&lt;=loanMonths), EMI, 0)</f>
        <v/>
      </c>
      <c r="I112" s="23">
        <f>IF(AND(F112&gt;0, A112&lt;=loanMonths), MAX(0, F112-MIN(EMI-G112, F112)), F112)</f>
        <v/>
      </c>
      <c r="J112" s="23">
        <f>K111</f>
        <v/>
      </c>
      <c r="K112" s="23">
        <f>J112*(1+mfMo)+H112-E112</f>
        <v/>
      </c>
      <c r="L112" s="23">
        <f>L111+E112</f>
        <v/>
      </c>
      <c r="M112" s="23">
        <f>M111+H112+MAX(0,-E112)</f>
        <v/>
      </c>
      <c r="N112" s="23">
        <f>N111+MAX(0,E112)</f>
        <v/>
      </c>
    </row>
    <row r="113">
      <c r="A113" s="24" t="n">
        <v>112</v>
      </c>
      <c r="B113" s="25">
        <f>propPrice*(1+monthlyAppn)^A113</f>
        <v/>
      </c>
      <c r="C113" s="25">
        <f>IF(A113&gt;=startRentalMonth, initRent*(1+monthlyRentInf)^(A113-1), 0)</f>
        <v/>
      </c>
      <c r="D113" s="25">
        <f>initMaint*(1+monthlyRentInf)^(A113-1)</f>
        <v/>
      </c>
      <c r="E113" s="25">
        <f>C113*(1-vacancyPct)-D113</f>
        <v/>
      </c>
      <c r="F113" s="25">
        <f>I112</f>
        <v/>
      </c>
      <c r="G113" s="25">
        <f>IF(AND(F113&gt;0, A113&lt;=loanMonths), F113*rMonthly, 0)</f>
        <v/>
      </c>
      <c r="H113" s="25">
        <f>IF(AND(F113&gt;0, A113&lt;=loanMonths), EMI, 0)</f>
        <v/>
      </c>
      <c r="I113" s="25">
        <f>IF(AND(F113&gt;0, A113&lt;=loanMonths), MAX(0, F113-MIN(EMI-G113, F113)), F113)</f>
        <v/>
      </c>
      <c r="J113" s="25">
        <f>K112</f>
        <v/>
      </c>
      <c r="K113" s="25">
        <f>J113*(1+mfMo)+H113-E113</f>
        <v/>
      </c>
      <c r="L113" s="25">
        <f>L112+E113</f>
        <v/>
      </c>
      <c r="M113" s="25">
        <f>M112+H113+MAX(0,-E113)</f>
        <v/>
      </c>
      <c r="N113" s="25">
        <f>N112+MAX(0,E113)</f>
        <v/>
      </c>
    </row>
    <row r="114">
      <c r="A114" s="22" t="n">
        <v>113</v>
      </c>
      <c r="B114" s="23">
        <f>propPrice*(1+monthlyAppn)^A114</f>
        <v/>
      </c>
      <c r="C114" s="23">
        <f>IF(A114&gt;=startRentalMonth, initRent*(1+monthlyRentInf)^(A114-1), 0)</f>
        <v/>
      </c>
      <c r="D114" s="23">
        <f>initMaint*(1+monthlyRentInf)^(A114-1)</f>
        <v/>
      </c>
      <c r="E114" s="23">
        <f>C114*(1-vacancyPct)-D114</f>
        <v/>
      </c>
      <c r="F114" s="23">
        <f>I113</f>
        <v/>
      </c>
      <c r="G114" s="23">
        <f>IF(AND(F114&gt;0, A114&lt;=loanMonths), F114*rMonthly, 0)</f>
        <v/>
      </c>
      <c r="H114" s="23">
        <f>IF(AND(F114&gt;0, A114&lt;=loanMonths), EMI, 0)</f>
        <v/>
      </c>
      <c r="I114" s="23">
        <f>IF(AND(F114&gt;0, A114&lt;=loanMonths), MAX(0, F114-MIN(EMI-G114, F114)), F114)</f>
        <v/>
      </c>
      <c r="J114" s="23">
        <f>K113</f>
        <v/>
      </c>
      <c r="K114" s="23">
        <f>J114*(1+mfMo)+H114-E114</f>
        <v/>
      </c>
      <c r="L114" s="23">
        <f>L113+E114</f>
        <v/>
      </c>
      <c r="M114" s="23">
        <f>M113+H114+MAX(0,-E114)</f>
        <v/>
      </c>
      <c r="N114" s="23">
        <f>N113+MAX(0,E114)</f>
        <v/>
      </c>
    </row>
    <row r="115">
      <c r="A115" s="24" t="n">
        <v>114</v>
      </c>
      <c r="B115" s="25">
        <f>propPrice*(1+monthlyAppn)^A115</f>
        <v/>
      </c>
      <c r="C115" s="25">
        <f>IF(A115&gt;=startRentalMonth, initRent*(1+monthlyRentInf)^(A115-1), 0)</f>
        <v/>
      </c>
      <c r="D115" s="25">
        <f>initMaint*(1+monthlyRentInf)^(A115-1)</f>
        <v/>
      </c>
      <c r="E115" s="25">
        <f>C115*(1-vacancyPct)-D115</f>
        <v/>
      </c>
      <c r="F115" s="25">
        <f>I114</f>
        <v/>
      </c>
      <c r="G115" s="25">
        <f>IF(AND(F115&gt;0, A115&lt;=loanMonths), F115*rMonthly, 0)</f>
        <v/>
      </c>
      <c r="H115" s="25">
        <f>IF(AND(F115&gt;0, A115&lt;=loanMonths), EMI, 0)</f>
        <v/>
      </c>
      <c r="I115" s="25">
        <f>IF(AND(F115&gt;0, A115&lt;=loanMonths), MAX(0, F115-MIN(EMI-G115, F115)), F115)</f>
        <v/>
      </c>
      <c r="J115" s="25">
        <f>K114</f>
        <v/>
      </c>
      <c r="K115" s="25">
        <f>J115*(1+mfMo)+H115-E115</f>
        <v/>
      </c>
      <c r="L115" s="25">
        <f>L114+E115</f>
        <v/>
      </c>
      <c r="M115" s="25">
        <f>M114+H115+MAX(0,-E115)</f>
        <v/>
      </c>
      <c r="N115" s="25">
        <f>N114+MAX(0,E115)</f>
        <v/>
      </c>
    </row>
    <row r="116">
      <c r="A116" s="22" t="n">
        <v>115</v>
      </c>
      <c r="B116" s="23">
        <f>propPrice*(1+monthlyAppn)^A116</f>
        <v/>
      </c>
      <c r="C116" s="23">
        <f>IF(A116&gt;=startRentalMonth, initRent*(1+monthlyRentInf)^(A116-1), 0)</f>
        <v/>
      </c>
      <c r="D116" s="23">
        <f>initMaint*(1+monthlyRentInf)^(A116-1)</f>
        <v/>
      </c>
      <c r="E116" s="23">
        <f>C116*(1-vacancyPct)-D116</f>
        <v/>
      </c>
      <c r="F116" s="23">
        <f>I115</f>
        <v/>
      </c>
      <c r="G116" s="23">
        <f>IF(AND(F116&gt;0, A116&lt;=loanMonths), F116*rMonthly, 0)</f>
        <v/>
      </c>
      <c r="H116" s="23">
        <f>IF(AND(F116&gt;0, A116&lt;=loanMonths), EMI, 0)</f>
        <v/>
      </c>
      <c r="I116" s="23">
        <f>IF(AND(F116&gt;0, A116&lt;=loanMonths), MAX(0, F116-MIN(EMI-G116, F116)), F116)</f>
        <v/>
      </c>
      <c r="J116" s="23">
        <f>K115</f>
        <v/>
      </c>
      <c r="K116" s="23">
        <f>J116*(1+mfMo)+H116-E116</f>
        <v/>
      </c>
      <c r="L116" s="23">
        <f>L115+E116</f>
        <v/>
      </c>
      <c r="M116" s="23">
        <f>M115+H116+MAX(0,-E116)</f>
        <v/>
      </c>
      <c r="N116" s="23">
        <f>N115+MAX(0,E116)</f>
        <v/>
      </c>
    </row>
    <row r="117">
      <c r="A117" s="24" t="n">
        <v>116</v>
      </c>
      <c r="B117" s="25">
        <f>propPrice*(1+monthlyAppn)^A117</f>
        <v/>
      </c>
      <c r="C117" s="25">
        <f>IF(A117&gt;=startRentalMonth, initRent*(1+monthlyRentInf)^(A117-1), 0)</f>
        <v/>
      </c>
      <c r="D117" s="25">
        <f>initMaint*(1+monthlyRentInf)^(A117-1)</f>
        <v/>
      </c>
      <c r="E117" s="25">
        <f>C117*(1-vacancyPct)-D117</f>
        <v/>
      </c>
      <c r="F117" s="25">
        <f>I116</f>
        <v/>
      </c>
      <c r="G117" s="25">
        <f>IF(AND(F117&gt;0, A117&lt;=loanMonths), F117*rMonthly, 0)</f>
        <v/>
      </c>
      <c r="H117" s="25">
        <f>IF(AND(F117&gt;0, A117&lt;=loanMonths), EMI, 0)</f>
        <v/>
      </c>
      <c r="I117" s="25">
        <f>IF(AND(F117&gt;0, A117&lt;=loanMonths), MAX(0, F117-MIN(EMI-G117, F117)), F117)</f>
        <v/>
      </c>
      <c r="J117" s="25">
        <f>K116</f>
        <v/>
      </c>
      <c r="K117" s="25">
        <f>J117*(1+mfMo)+H117-E117</f>
        <v/>
      </c>
      <c r="L117" s="25">
        <f>L116+E117</f>
        <v/>
      </c>
      <c r="M117" s="25">
        <f>M116+H117+MAX(0,-E117)</f>
        <v/>
      </c>
      <c r="N117" s="25">
        <f>N116+MAX(0,E117)</f>
        <v/>
      </c>
    </row>
    <row r="118">
      <c r="A118" s="22" t="n">
        <v>117</v>
      </c>
      <c r="B118" s="23">
        <f>propPrice*(1+monthlyAppn)^A118</f>
        <v/>
      </c>
      <c r="C118" s="23">
        <f>IF(A118&gt;=startRentalMonth, initRent*(1+monthlyRentInf)^(A118-1), 0)</f>
        <v/>
      </c>
      <c r="D118" s="23">
        <f>initMaint*(1+monthlyRentInf)^(A118-1)</f>
        <v/>
      </c>
      <c r="E118" s="23">
        <f>C118*(1-vacancyPct)-D118</f>
        <v/>
      </c>
      <c r="F118" s="23">
        <f>I117</f>
        <v/>
      </c>
      <c r="G118" s="23">
        <f>IF(AND(F118&gt;0, A118&lt;=loanMonths), F118*rMonthly, 0)</f>
        <v/>
      </c>
      <c r="H118" s="23">
        <f>IF(AND(F118&gt;0, A118&lt;=loanMonths), EMI, 0)</f>
        <v/>
      </c>
      <c r="I118" s="23">
        <f>IF(AND(F118&gt;0, A118&lt;=loanMonths), MAX(0, F118-MIN(EMI-G118, F118)), F118)</f>
        <v/>
      </c>
      <c r="J118" s="23">
        <f>K117</f>
        <v/>
      </c>
      <c r="K118" s="23">
        <f>J118*(1+mfMo)+H118-E118</f>
        <v/>
      </c>
      <c r="L118" s="23">
        <f>L117+E118</f>
        <v/>
      </c>
      <c r="M118" s="23">
        <f>M117+H118+MAX(0,-E118)</f>
        <v/>
      </c>
      <c r="N118" s="23">
        <f>N117+MAX(0,E118)</f>
        <v/>
      </c>
    </row>
    <row r="119">
      <c r="A119" s="24" t="n">
        <v>118</v>
      </c>
      <c r="B119" s="25">
        <f>propPrice*(1+monthlyAppn)^A119</f>
        <v/>
      </c>
      <c r="C119" s="25">
        <f>IF(A119&gt;=startRentalMonth, initRent*(1+monthlyRentInf)^(A119-1), 0)</f>
        <v/>
      </c>
      <c r="D119" s="25">
        <f>initMaint*(1+monthlyRentInf)^(A119-1)</f>
        <v/>
      </c>
      <c r="E119" s="25">
        <f>C119*(1-vacancyPct)-D119</f>
        <v/>
      </c>
      <c r="F119" s="25">
        <f>I118</f>
        <v/>
      </c>
      <c r="G119" s="25">
        <f>IF(AND(F119&gt;0, A119&lt;=loanMonths), F119*rMonthly, 0)</f>
        <v/>
      </c>
      <c r="H119" s="25">
        <f>IF(AND(F119&gt;0, A119&lt;=loanMonths), EMI, 0)</f>
        <v/>
      </c>
      <c r="I119" s="25">
        <f>IF(AND(F119&gt;0, A119&lt;=loanMonths), MAX(0, F119-MIN(EMI-G119, F119)), F119)</f>
        <v/>
      </c>
      <c r="J119" s="25">
        <f>K118</f>
        <v/>
      </c>
      <c r="K119" s="25">
        <f>J119*(1+mfMo)+H119-E119</f>
        <v/>
      </c>
      <c r="L119" s="25">
        <f>L118+E119</f>
        <v/>
      </c>
      <c r="M119" s="25">
        <f>M118+H119+MAX(0,-E119)</f>
        <v/>
      </c>
      <c r="N119" s="25">
        <f>N118+MAX(0,E119)</f>
        <v/>
      </c>
    </row>
    <row r="120">
      <c r="A120" s="22" t="n">
        <v>119</v>
      </c>
      <c r="B120" s="23">
        <f>propPrice*(1+monthlyAppn)^A120</f>
        <v/>
      </c>
      <c r="C120" s="23">
        <f>IF(A120&gt;=startRentalMonth, initRent*(1+monthlyRentInf)^(A120-1), 0)</f>
        <v/>
      </c>
      <c r="D120" s="23">
        <f>initMaint*(1+monthlyRentInf)^(A120-1)</f>
        <v/>
      </c>
      <c r="E120" s="23">
        <f>C120*(1-vacancyPct)-D120</f>
        <v/>
      </c>
      <c r="F120" s="23">
        <f>I119</f>
        <v/>
      </c>
      <c r="G120" s="23">
        <f>IF(AND(F120&gt;0, A120&lt;=loanMonths), F120*rMonthly, 0)</f>
        <v/>
      </c>
      <c r="H120" s="23">
        <f>IF(AND(F120&gt;0, A120&lt;=loanMonths), EMI, 0)</f>
        <v/>
      </c>
      <c r="I120" s="23">
        <f>IF(AND(F120&gt;0, A120&lt;=loanMonths), MAX(0, F120-MIN(EMI-G120, F120)), F120)</f>
        <v/>
      </c>
      <c r="J120" s="23">
        <f>K119</f>
        <v/>
      </c>
      <c r="K120" s="23">
        <f>J120*(1+mfMo)+H120-E120</f>
        <v/>
      </c>
      <c r="L120" s="23">
        <f>L119+E120</f>
        <v/>
      </c>
      <c r="M120" s="23">
        <f>M119+H120+MAX(0,-E120)</f>
        <v/>
      </c>
      <c r="N120" s="23">
        <f>N119+MAX(0,E120)</f>
        <v/>
      </c>
    </row>
    <row r="121">
      <c r="A121" s="24" t="n">
        <v>120</v>
      </c>
      <c r="B121" s="25">
        <f>propPrice*(1+monthlyAppn)^A121</f>
        <v/>
      </c>
      <c r="C121" s="25">
        <f>IF(A121&gt;=startRentalMonth, initRent*(1+monthlyRentInf)^(A121-1), 0)</f>
        <v/>
      </c>
      <c r="D121" s="25">
        <f>initMaint*(1+monthlyRentInf)^(A121-1)</f>
        <v/>
      </c>
      <c r="E121" s="25">
        <f>C121*(1-vacancyPct)-D121</f>
        <v/>
      </c>
      <c r="F121" s="25">
        <f>I120</f>
        <v/>
      </c>
      <c r="G121" s="25">
        <f>IF(AND(F121&gt;0, A121&lt;=loanMonths), F121*rMonthly, 0)</f>
        <v/>
      </c>
      <c r="H121" s="25">
        <f>IF(AND(F121&gt;0, A121&lt;=loanMonths), EMI, 0)</f>
        <v/>
      </c>
      <c r="I121" s="25">
        <f>IF(AND(F121&gt;0, A121&lt;=loanMonths), MAX(0, F121-MIN(EMI-G121, F121)), F121)</f>
        <v/>
      </c>
      <c r="J121" s="25">
        <f>K120</f>
        <v/>
      </c>
      <c r="K121" s="25">
        <f>J121*(1+mfMo)+H121-E121</f>
        <v/>
      </c>
      <c r="L121" s="25">
        <f>L120+E121</f>
        <v/>
      </c>
      <c r="M121" s="25">
        <f>M120+H121+MAX(0,-E121)</f>
        <v/>
      </c>
      <c r="N121" s="25">
        <f>N120+MAX(0,E121)</f>
        <v/>
      </c>
    </row>
    <row r="122">
      <c r="A122" s="22" t="n">
        <v>121</v>
      </c>
      <c r="B122" s="23">
        <f>propPrice*(1+monthlyAppn)^A122</f>
        <v/>
      </c>
      <c r="C122" s="23">
        <f>IF(A122&gt;=startRentalMonth, initRent*(1+monthlyRentInf)^(A122-1), 0)</f>
        <v/>
      </c>
      <c r="D122" s="23">
        <f>initMaint*(1+monthlyRentInf)^(A122-1)</f>
        <v/>
      </c>
      <c r="E122" s="23">
        <f>C122*(1-vacancyPct)-D122</f>
        <v/>
      </c>
      <c r="F122" s="23">
        <f>I121</f>
        <v/>
      </c>
      <c r="G122" s="23">
        <f>IF(AND(F122&gt;0, A122&lt;=loanMonths), F122*rMonthly, 0)</f>
        <v/>
      </c>
      <c r="H122" s="23">
        <f>IF(AND(F122&gt;0, A122&lt;=loanMonths), EMI, 0)</f>
        <v/>
      </c>
      <c r="I122" s="23">
        <f>IF(AND(F122&gt;0, A122&lt;=loanMonths), MAX(0, F122-MIN(EMI-G122, F122)), F122)</f>
        <v/>
      </c>
      <c r="J122" s="23">
        <f>K121</f>
        <v/>
      </c>
      <c r="K122" s="23">
        <f>J122*(1+mfMo)+H122-E122</f>
        <v/>
      </c>
      <c r="L122" s="23">
        <f>L121+E122</f>
        <v/>
      </c>
      <c r="M122" s="23">
        <f>M121+H122+MAX(0,-E122)</f>
        <v/>
      </c>
      <c r="N122" s="23">
        <f>N121+MAX(0,E122)</f>
        <v/>
      </c>
    </row>
    <row r="123">
      <c r="A123" s="24" t="n">
        <v>122</v>
      </c>
      <c r="B123" s="25">
        <f>propPrice*(1+monthlyAppn)^A123</f>
        <v/>
      </c>
      <c r="C123" s="25">
        <f>IF(A123&gt;=startRentalMonth, initRent*(1+monthlyRentInf)^(A123-1), 0)</f>
        <v/>
      </c>
      <c r="D123" s="25">
        <f>initMaint*(1+monthlyRentInf)^(A123-1)</f>
        <v/>
      </c>
      <c r="E123" s="25">
        <f>C123*(1-vacancyPct)-D123</f>
        <v/>
      </c>
      <c r="F123" s="25">
        <f>I122</f>
        <v/>
      </c>
      <c r="G123" s="25">
        <f>IF(AND(F123&gt;0, A123&lt;=loanMonths), F123*rMonthly, 0)</f>
        <v/>
      </c>
      <c r="H123" s="25">
        <f>IF(AND(F123&gt;0, A123&lt;=loanMonths), EMI, 0)</f>
        <v/>
      </c>
      <c r="I123" s="25">
        <f>IF(AND(F123&gt;0, A123&lt;=loanMonths), MAX(0, F123-MIN(EMI-G123, F123)), F123)</f>
        <v/>
      </c>
      <c r="J123" s="25">
        <f>K122</f>
        <v/>
      </c>
      <c r="K123" s="25">
        <f>J123*(1+mfMo)+H123-E123</f>
        <v/>
      </c>
      <c r="L123" s="25">
        <f>L122+E123</f>
        <v/>
      </c>
      <c r="M123" s="25">
        <f>M122+H123+MAX(0,-E123)</f>
        <v/>
      </c>
      <c r="N123" s="25">
        <f>N122+MAX(0,E123)</f>
        <v/>
      </c>
    </row>
    <row r="124">
      <c r="A124" s="22" t="n">
        <v>123</v>
      </c>
      <c r="B124" s="23">
        <f>propPrice*(1+monthlyAppn)^A124</f>
        <v/>
      </c>
      <c r="C124" s="23">
        <f>IF(A124&gt;=startRentalMonth, initRent*(1+monthlyRentInf)^(A124-1), 0)</f>
        <v/>
      </c>
      <c r="D124" s="23">
        <f>initMaint*(1+monthlyRentInf)^(A124-1)</f>
        <v/>
      </c>
      <c r="E124" s="23">
        <f>C124*(1-vacancyPct)-D124</f>
        <v/>
      </c>
      <c r="F124" s="23">
        <f>I123</f>
        <v/>
      </c>
      <c r="G124" s="23">
        <f>IF(AND(F124&gt;0, A124&lt;=loanMonths), F124*rMonthly, 0)</f>
        <v/>
      </c>
      <c r="H124" s="23">
        <f>IF(AND(F124&gt;0, A124&lt;=loanMonths), EMI, 0)</f>
        <v/>
      </c>
      <c r="I124" s="23">
        <f>IF(AND(F124&gt;0, A124&lt;=loanMonths), MAX(0, F124-MIN(EMI-G124, F124)), F124)</f>
        <v/>
      </c>
      <c r="J124" s="23">
        <f>K123</f>
        <v/>
      </c>
      <c r="K124" s="23">
        <f>J124*(1+mfMo)+H124-E124</f>
        <v/>
      </c>
      <c r="L124" s="23">
        <f>L123+E124</f>
        <v/>
      </c>
      <c r="M124" s="23">
        <f>M123+H124+MAX(0,-E124)</f>
        <v/>
      </c>
      <c r="N124" s="23">
        <f>N123+MAX(0,E124)</f>
        <v/>
      </c>
    </row>
    <row r="125">
      <c r="A125" s="24" t="n">
        <v>124</v>
      </c>
      <c r="B125" s="25">
        <f>propPrice*(1+monthlyAppn)^A125</f>
        <v/>
      </c>
      <c r="C125" s="25">
        <f>IF(A125&gt;=startRentalMonth, initRent*(1+monthlyRentInf)^(A125-1), 0)</f>
        <v/>
      </c>
      <c r="D125" s="25">
        <f>initMaint*(1+monthlyRentInf)^(A125-1)</f>
        <v/>
      </c>
      <c r="E125" s="25">
        <f>C125*(1-vacancyPct)-D125</f>
        <v/>
      </c>
      <c r="F125" s="25">
        <f>I124</f>
        <v/>
      </c>
      <c r="G125" s="25">
        <f>IF(AND(F125&gt;0, A125&lt;=loanMonths), F125*rMonthly, 0)</f>
        <v/>
      </c>
      <c r="H125" s="25">
        <f>IF(AND(F125&gt;0, A125&lt;=loanMonths), EMI, 0)</f>
        <v/>
      </c>
      <c r="I125" s="25">
        <f>IF(AND(F125&gt;0, A125&lt;=loanMonths), MAX(0, F125-MIN(EMI-G125, F125)), F125)</f>
        <v/>
      </c>
      <c r="J125" s="25">
        <f>K124</f>
        <v/>
      </c>
      <c r="K125" s="25">
        <f>J125*(1+mfMo)+H125-E125</f>
        <v/>
      </c>
      <c r="L125" s="25">
        <f>L124+E125</f>
        <v/>
      </c>
      <c r="M125" s="25">
        <f>M124+H125+MAX(0,-E125)</f>
        <v/>
      </c>
      <c r="N125" s="25">
        <f>N124+MAX(0,E125)</f>
        <v/>
      </c>
    </row>
    <row r="126">
      <c r="A126" s="22" t="n">
        <v>125</v>
      </c>
      <c r="B126" s="23">
        <f>propPrice*(1+monthlyAppn)^A126</f>
        <v/>
      </c>
      <c r="C126" s="23">
        <f>IF(A126&gt;=startRentalMonth, initRent*(1+monthlyRentInf)^(A126-1), 0)</f>
        <v/>
      </c>
      <c r="D126" s="23">
        <f>initMaint*(1+monthlyRentInf)^(A126-1)</f>
        <v/>
      </c>
      <c r="E126" s="23">
        <f>C126*(1-vacancyPct)-D126</f>
        <v/>
      </c>
      <c r="F126" s="23">
        <f>I125</f>
        <v/>
      </c>
      <c r="G126" s="23">
        <f>IF(AND(F126&gt;0, A126&lt;=loanMonths), F126*rMonthly, 0)</f>
        <v/>
      </c>
      <c r="H126" s="23">
        <f>IF(AND(F126&gt;0, A126&lt;=loanMonths), EMI, 0)</f>
        <v/>
      </c>
      <c r="I126" s="23">
        <f>IF(AND(F126&gt;0, A126&lt;=loanMonths), MAX(0, F126-MIN(EMI-G126, F126)), F126)</f>
        <v/>
      </c>
      <c r="J126" s="23">
        <f>K125</f>
        <v/>
      </c>
      <c r="K126" s="23">
        <f>J126*(1+mfMo)+H126-E126</f>
        <v/>
      </c>
      <c r="L126" s="23">
        <f>L125+E126</f>
        <v/>
      </c>
      <c r="M126" s="23">
        <f>M125+H126+MAX(0,-E126)</f>
        <v/>
      </c>
      <c r="N126" s="23">
        <f>N125+MAX(0,E126)</f>
        <v/>
      </c>
    </row>
    <row r="127">
      <c r="A127" s="24" t="n">
        <v>126</v>
      </c>
      <c r="B127" s="25">
        <f>propPrice*(1+monthlyAppn)^A127</f>
        <v/>
      </c>
      <c r="C127" s="25">
        <f>IF(A127&gt;=startRentalMonth, initRent*(1+monthlyRentInf)^(A127-1), 0)</f>
        <v/>
      </c>
      <c r="D127" s="25">
        <f>initMaint*(1+monthlyRentInf)^(A127-1)</f>
        <v/>
      </c>
      <c r="E127" s="25">
        <f>C127*(1-vacancyPct)-D127</f>
        <v/>
      </c>
      <c r="F127" s="25">
        <f>I126</f>
        <v/>
      </c>
      <c r="G127" s="25">
        <f>IF(AND(F127&gt;0, A127&lt;=loanMonths), F127*rMonthly, 0)</f>
        <v/>
      </c>
      <c r="H127" s="25">
        <f>IF(AND(F127&gt;0, A127&lt;=loanMonths), EMI, 0)</f>
        <v/>
      </c>
      <c r="I127" s="25">
        <f>IF(AND(F127&gt;0, A127&lt;=loanMonths), MAX(0, F127-MIN(EMI-G127, F127)), F127)</f>
        <v/>
      </c>
      <c r="J127" s="25">
        <f>K126</f>
        <v/>
      </c>
      <c r="K127" s="25">
        <f>J127*(1+mfMo)+H127-E127</f>
        <v/>
      </c>
      <c r="L127" s="25">
        <f>L126+E127</f>
        <v/>
      </c>
      <c r="M127" s="25">
        <f>M126+H127+MAX(0,-E127)</f>
        <v/>
      </c>
      <c r="N127" s="25">
        <f>N126+MAX(0,E127)</f>
        <v/>
      </c>
    </row>
    <row r="128">
      <c r="A128" s="22" t="n">
        <v>127</v>
      </c>
      <c r="B128" s="23">
        <f>propPrice*(1+monthlyAppn)^A128</f>
        <v/>
      </c>
      <c r="C128" s="23">
        <f>IF(A128&gt;=startRentalMonth, initRent*(1+monthlyRentInf)^(A128-1), 0)</f>
        <v/>
      </c>
      <c r="D128" s="23">
        <f>initMaint*(1+monthlyRentInf)^(A128-1)</f>
        <v/>
      </c>
      <c r="E128" s="23">
        <f>C128*(1-vacancyPct)-D128</f>
        <v/>
      </c>
      <c r="F128" s="23">
        <f>I127</f>
        <v/>
      </c>
      <c r="G128" s="23">
        <f>IF(AND(F128&gt;0, A128&lt;=loanMonths), F128*rMonthly, 0)</f>
        <v/>
      </c>
      <c r="H128" s="23">
        <f>IF(AND(F128&gt;0, A128&lt;=loanMonths), EMI, 0)</f>
        <v/>
      </c>
      <c r="I128" s="23">
        <f>IF(AND(F128&gt;0, A128&lt;=loanMonths), MAX(0, F128-MIN(EMI-G128, F128)), F128)</f>
        <v/>
      </c>
      <c r="J128" s="23">
        <f>K127</f>
        <v/>
      </c>
      <c r="K128" s="23">
        <f>J128*(1+mfMo)+H128-E128</f>
        <v/>
      </c>
      <c r="L128" s="23">
        <f>L127+E128</f>
        <v/>
      </c>
      <c r="M128" s="23">
        <f>M127+H128+MAX(0,-E128)</f>
        <v/>
      </c>
      <c r="N128" s="23">
        <f>N127+MAX(0,E128)</f>
        <v/>
      </c>
    </row>
    <row r="129">
      <c r="A129" s="24" t="n">
        <v>128</v>
      </c>
      <c r="B129" s="25">
        <f>propPrice*(1+monthlyAppn)^A129</f>
        <v/>
      </c>
      <c r="C129" s="25">
        <f>IF(A129&gt;=startRentalMonth, initRent*(1+monthlyRentInf)^(A129-1), 0)</f>
        <v/>
      </c>
      <c r="D129" s="25">
        <f>initMaint*(1+monthlyRentInf)^(A129-1)</f>
        <v/>
      </c>
      <c r="E129" s="25">
        <f>C129*(1-vacancyPct)-D129</f>
        <v/>
      </c>
      <c r="F129" s="25">
        <f>I128</f>
        <v/>
      </c>
      <c r="G129" s="25">
        <f>IF(AND(F129&gt;0, A129&lt;=loanMonths), F129*rMonthly, 0)</f>
        <v/>
      </c>
      <c r="H129" s="25">
        <f>IF(AND(F129&gt;0, A129&lt;=loanMonths), EMI, 0)</f>
        <v/>
      </c>
      <c r="I129" s="25">
        <f>IF(AND(F129&gt;0, A129&lt;=loanMonths), MAX(0, F129-MIN(EMI-G129, F129)), F129)</f>
        <v/>
      </c>
      <c r="J129" s="25">
        <f>K128</f>
        <v/>
      </c>
      <c r="K129" s="25">
        <f>J129*(1+mfMo)+H129-E129</f>
        <v/>
      </c>
      <c r="L129" s="25">
        <f>L128+E129</f>
        <v/>
      </c>
      <c r="M129" s="25">
        <f>M128+H129+MAX(0,-E129)</f>
        <v/>
      </c>
      <c r="N129" s="25">
        <f>N128+MAX(0,E129)</f>
        <v/>
      </c>
    </row>
    <row r="130">
      <c r="A130" s="22" t="n">
        <v>129</v>
      </c>
      <c r="B130" s="23">
        <f>propPrice*(1+monthlyAppn)^A130</f>
        <v/>
      </c>
      <c r="C130" s="23">
        <f>IF(A130&gt;=startRentalMonth, initRent*(1+monthlyRentInf)^(A130-1), 0)</f>
        <v/>
      </c>
      <c r="D130" s="23">
        <f>initMaint*(1+monthlyRentInf)^(A130-1)</f>
        <v/>
      </c>
      <c r="E130" s="23">
        <f>C130*(1-vacancyPct)-D130</f>
        <v/>
      </c>
      <c r="F130" s="23">
        <f>I129</f>
        <v/>
      </c>
      <c r="G130" s="23">
        <f>IF(AND(F130&gt;0, A130&lt;=loanMonths), F130*rMonthly, 0)</f>
        <v/>
      </c>
      <c r="H130" s="23">
        <f>IF(AND(F130&gt;0, A130&lt;=loanMonths), EMI, 0)</f>
        <v/>
      </c>
      <c r="I130" s="23">
        <f>IF(AND(F130&gt;0, A130&lt;=loanMonths), MAX(0, F130-MIN(EMI-G130, F130)), F130)</f>
        <v/>
      </c>
      <c r="J130" s="23">
        <f>K129</f>
        <v/>
      </c>
      <c r="K130" s="23">
        <f>J130*(1+mfMo)+H130-E130</f>
        <v/>
      </c>
      <c r="L130" s="23">
        <f>L129+E130</f>
        <v/>
      </c>
      <c r="M130" s="23">
        <f>M129+H130+MAX(0,-E130)</f>
        <v/>
      </c>
      <c r="N130" s="23">
        <f>N129+MAX(0,E130)</f>
        <v/>
      </c>
    </row>
    <row r="131">
      <c r="A131" s="24" t="n">
        <v>130</v>
      </c>
      <c r="B131" s="25">
        <f>propPrice*(1+monthlyAppn)^A131</f>
        <v/>
      </c>
      <c r="C131" s="25">
        <f>IF(A131&gt;=startRentalMonth, initRent*(1+monthlyRentInf)^(A131-1), 0)</f>
        <v/>
      </c>
      <c r="D131" s="25">
        <f>initMaint*(1+monthlyRentInf)^(A131-1)</f>
        <v/>
      </c>
      <c r="E131" s="25">
        <f>C131*(1-vacancyPct)-D131</f>
        <v/>
      </c>
      <c r="F131" s="25">
        <f>I130</f>
        <v/>
      </c>
      <c r="G131" s="25">
        <f>IF(AND(F131&gt;0, A131&lt;=loanMonths), F131*rMonthly, 0)</f>
        <v/>
      </c>
      <c r="H131" s="25">
        <f>IF(AND(F131&gt;0, A131&lt;=loanMonths), EMI, 0)</f>
        <v/>
      </c>
      <c r="I131" s="25">
        <f>IF(AND(F131&gt;0, A131&lt;=loanMonths), MAX(0, F131-MIN(EMI-G131, F131)), F131)</f>
        <v/>
      </c>
      <c r="J131" s="25">
        <f>K130</f>
        <v/>
      </c>
      <c r="K131" s="25">
        <f>J131*(1+mfMo)+H131-E131</f>
        <v/>
      </c>
      <c r="L131" s="25">
        <f>L130+E131</f>
        <v/>
      </c>
      <c r="M131" s="25">
        <f>M130+H131+MAX(0,-E131)</f>
        <v/>
      </c>
      <c r="N131" s="25">
        <f>N130+MAX(0,E131)</f>
        <v/>
      </c>
    </row>
    <row r="132">
      <c r="A132" s="22" t="n">
        <v>131</v>
      </c>
      <c r="B132" s="23">
        <f>propPrice*(1+monthlyAppn)^A132</f>
        <v/>
      </c>
      <c r="C132" s="23">
        <f>IF(A132&gt;=startRentalMonth, initRent*(1+monthlyRentInf)^(A132-1), 0)</f>
        <v/>
      </c>
      <c r="D132" s="23">
        <f>initMaint*(1+monthlyRentInf)^(A132-1)</f>
        <v/>
      </c>
      <c r="E132" s="23">
        <f>C132*(1-vacancyPct)-D132</f>
        <v/>
      </c>
      <c r="F132" s="23">
        <f>I131</f>
        <v/>
      </c>
      <c r="G132" s="23">
        <f>IF(AND(F132&gt;0, A132&lt;=loanMonths), F132*rMonthly, 0)</f>
        <v/>
      </c>
      <c r="H132" s="23">
        <f>IF(AND(F132&gt;0, A132&lt;=loanMonths), EMI, 0)</f>
        <v/>
      </c>
      <c r="I132" s="23">
        <f>IF(AND(F132&gt;0, A132&lt;=loanMonths), MAX(0, F132-MIN(EMI-G132, F132)), F132)</f>
        <v/>
      </c>
      <c r="J132" s="23">
        <f>K131</f>
        <v/>
      </c>
      <c r="K132" s="23">
        <f>J132*(1+mfMo)+H132-E132</f>
        <v/>
      </c>
      <c r="L132" s="23">
        <f>L131+E132</f>
        <v/>
      </c>
      <c r="M132" s="23">
        <f>M131+H132+MAX(0,-E132)</f>
        <v/>
      </c>
      <c r="N132" s="23">
        <f>N131+MAX(0,E132)</f>
        <v/>
      </c>
    </row>
    <row r="133">
      <c r="A133" s="24" t="n">
        <v>132</v>
      </c>
      <c r="B133" s="25">
        <f>propPrice*(1+monthlyAppn)^A133</f>
        <v/>
      </c>
      <c r="C133" s="25">
        <f>IF(A133&gt;=startRentalMonth, initRent*(1+monthlyRentInf)^(A133-1), 0)</f>
        <v/>
      </c>
      <c r="D133" s="25">
        <f>initMaint*(1+monthlyRentInf)^(A133-1)</f>
        <v/>
      </c>
      <c r="E133" s="25">
        <f>C133*(1-vacancyPct)-D133</f>
        <v/>
      </c>
      <c r="F133" s="25">
        <f>I132</f>
        <v/>
      </c>
      <c r="G133" s="25">
        <f>IF(AND(F133&gt;0, A133&lt;=loanMonths), F133*rMonthly, 0)</f>
        <v/>
      </c>
      <c r="H133" s="25">
        <f>IF(AND(F133&gt;0, A133&lt;=loanMonths), EMI, 0)</f>
        <v/>
      </c>
      <c r="I133" s="25">
        <f>IF(AND(F133&gt;0, A133&lt;=loanMonths), MAX(0, F133-MIN(EMI-G133, F133)), F133)</f>
        <v/>
      </c>
      <c r="J133" s="25">
        <f>K132</f>
        <v/>
      </c>
      <c r="K133" s="25">
        <f>J133*(1+mfMo)+H133-E133</f>
        <v/>
      </c>
      <c r="L133" s="25">
        <f>L132+E133</f>
        <v/>
      </c>
      <c r="M133" s="25">
        <f>M132+H133+MAX(0,-E133)</f>
        <v/>
      </c>
      <c r="N133" s="25">
        <f>N132+MAX(0,E133)</f>
        <v/>
      </c>
    </row>
    <row r="134">
      <c r="A134" s="22" t="n">
        <v>133</v>
      </c>
      <c r="B134" s="23">
        <f>propPrice*(1+monthlyAppn)^A134</f>
        <v/>
      </c>
      <c r="C134" s="23">
        <f>IF(A134&gt;=startRentalMonth, initRent*(1+monthlyRentInf)^(A134-1), 0)</f>
        <v/>
      </c>
      <c r="D134" s="23">
        <f>initMaint*(1+monthlyRentInf)^(A134-1)</f>
        <v/>
      </c>
      <c r="E134" s="23">
        <f>C134*(1-vacancyPct)-D134</f>
        <v/>
      </c>
      <c r="F134" s="23">
        <f>I133</f>
        <v/>
      </c>
      <c r="G134" s="23">
        <f>IF(AND(F134&gt;0, A134&lt;=loanMonths), F134*rMonthly, 0)</f>
        <v/>
      </c>
      <c r="H134" s="23">
        <f>IF(AND(F134&gt;0, A134&lt;=loanMonths), EMI, 0)</f>
        <v/>
      </c>
      <c r="I134" s="23">
        <f>IF(AND(F134&gt;0, A134&lt;=loanMonths), MAX(0, F134-MIN(EMI-G134, F134)), F134)</f>
        <v/>
      </c>
      <c r="J134" s="23">
        <f>K133</f>
        <v/>
      </c>
      <c r="K134" s="23">
        <f>J134*(1+mfMo)+H134-E134</f>
        <v/>
      </c>
      <c r="L134" s="23">
        <f>L133+E134</f>
        <v/>
      </c>
      <c r="M134" s="23">
        <f>M133+H134+MAX(0,-E134)</f>
        <v/>
      </c>
      <c r="N134" s="23">
        <f>N133+MAX(0,E134)</f>
        <v/>
      </c>
    </row>
    <row r="135">
      <c r="A135" s="24" t="n">
        <v>134</v>
      </c>
      <c r="B135" s="25">
        <f>propPrice*(1+monthlyAppn)^A135</f>
        <v/>
      </c>
      <c r="C135" s="25">
        <f>IF(A135&gt;=startRentalMonth, initRent*(1+monthlyRentInf)^(A135-1), 0)</f>
        <v/>
      </c>
      <c r="D135" s="25">
        <f>initMaint*(1+monthlyRentInf)^(A135-1)</f>
        <v/>
      </c>
      <c r="E135" s="25">
        <f>C135*(1-vacancyPct)-D135</f>
        <v/>
      </c>
      <c r="F135" s="25">
        <f>I134</f>
        <v/>
      </c>
      <c r="G135" s="25">
        <f>IF(AND(F135&gt;0, A135&lt;=loanMonths), F135*rMonthly, 0)</f>
        <v/>
      </c>
      <c r="H135" s="25">
        <f>IF(AND(F135&gt;0, A135&lt;=loanMonths), EMI, 0)</f>
        <v/>
      </c>
      <c r="I135" s="25">
        <f>IF(AND(F135&gt;0, A135&lt;=loanMonths), MAX(0, F135-MIN(EMI-G135, F135)), F135)</f>
        <v/>
      </c>
      <c r="J135" s="25">
        <f>K134</f>
        <v/>
      </c>
      <c r="K135" s="25">
        <f>J135*(1+mfMo)+H135-E135</f>
        <v/>
      </c>
      <c r="L135" s="25">
        <f>L134+E135</f>
        <v/>
      </c>
      <c r="M135" s="25">
        <f>M134+H135+MAX(0,-E135)</f>
        <v/>
      </c>
      <c r="N135" s="25">
        <f>N134+MAX(0,E135)</f>
        <v/>
      </c>
    </row>
    <row r="136">
      <c r="A136" s="22" t="n">
        <v>135</v>
      </c>
      <c r="B136" s="23">
        <f>propPrice*(1+monthlyAppn)^A136</f>
        <v/>
      </c>
      <c r="C136" s="23">
        <f>IF(A136&gt;=startRentalMonth, initRent*(1+monthlyRentInf)^(A136-1), 0)</f>
        <v/>
      </c>
      <c r="D136" s="23">
        <f>initMaint*(1+monthlyRentInf)^(A136-1)</f>
        <v/>
      </c>
      <c r="E136" s="23">
        <f>C136*(1-vacancyPct)-D136</f>
        <v/>
      </c>
      <c r="F136" s="23">
        <f>I135</f>
        <v/>
      </c>
      <c r="G136" s="23">
        <f>IF(AND(F136&gt;0, A136&lt;=loanMonths), F136*rMonthly, 0)</f>
        <v/>
      </c>
      <c r="H136" s="23">
        <f>IF(AND(F136&gt;0, A136&lt;=loanMonths), EMI, 0)</f>
        <v/>
      </c>
      <c r="I136" s="23">
        <f>IF(AND(F136&gt;0, A136&lt;=loanMonths), MAX(0, F136-MIN(EMI-G136, F136)), F136)</f>
        <v/>
      </c>
      <c r="J136" s="23">
        <f>K135</f>
        <v/>
      </c>
      <c r="K136" s="23">
        <f>J136*(1+mfMo)+H136-E136</f>
        <v/>
      </c>
      <c r="L136" s="23">
        <f>L135+E136</f>
        <v/>
      </c>
      <c r="M136" s="23">
        <f>M135+H136+MAX(0,-E136)</f>
        <v/>
      </c>
      <c r="N136" s="23">
        <f>N135+MAX(0,E136)</f>
        <v/>
      </c>
    </row>
    <row r="137">
      <c r="A137" s="24" t="n">
        <v>136</v>
      </c>
      <c r="B137" s="25">
        <f>propPrice*(1+monthlyAppn)^A137</f>
        <v/>
      </c>
      <c r="C137" s="25">
        <f>IF(A137&gt;=startRentalMonth, initRent*(1+monthlyRentInf)^(A137-1), 0)</f>
        <v/>
      </c>
      <c r="D137" s="25">
        <f>initMaint*(1+monthlyRentInf)^(A137-1)</f>
        <v/>
      </c>
      <c r="E137" s="25">
        <f>C137*(1-vacancyPct)-D137</f>
        <v/>
      </c>
      <c r="F137" s="25">
        <f>I136</f>
        <v/>
      </c>
      <c r="G137" s="25">
        <f>IF(AND(F137&gt;0, A137&lt;=loanMonths), F137*rMonthly, 0)</f>
        <v/>
      </c>
      <c r="H137" s="25">
        <f>IF(AND(F137&gt;0, A137&lt;=loanMonths), EMI, 0)</f>
        <v/>
      </c>
      <c r="I137" s="25">
        <f>IF(AND(F137&gt;0, A137&lt;=loanMonths), MAX(0, F137-MIN(EMI-G137, F137)), F137)</f>
        <v/>
      </c>
      <c r="J137" s="25">
        <f>K136</f>
        <v/>
      </c>
      <c r="K137" s="25">
        <f>J137*(1+mfMo)+H137-E137</f>
        <v/>
      </c>
      <c r="L137" s="25">
        <f>L136+E137</f>
        <v/>
      </c>
      <c r="M137" s="25">
        <f>M136+H137+MAX(0,-E137)</f>
        <v/>
      </c>
      <c r="N137" s="25">
        <f>N136+MAX(0,E137)</f>
        <v/>
      </c>
    </row>
    <row r="138">
      <c r="A138" s="22" t="n">
        <v>137</v>
      </c>
      <c r="B138" s="23">
        <f>propPrice*(1+monthlyAppn)^A138</f>
        <v/>
      </c>
      <c r="C138" s="23">
        <f>IF(A138&gt;=startRentalMonth, initRent*(1+monthlyRentInf)^(A138-1), 0)</f>
        <v/>
      </c>
      <c r="D138" s="23">
        <f>initMaint*(1+monthlyRentInf)^(A138-1)</f>
        <v/>
      </c>
      <c r="E138" s="23">
        <f>C138*(1-vacancyPct)-D138</f>
        <v/>
      </c>
      <c r="F138" s="23">
        <f>I137</f>
        <v/>
      </c>
      <c r="G138" s="23">
        <f>IF(AND(F138&gt;0, A138&lt;=loanMonths), F138*rMonthly, 0)</f>
        <v/>
      </c>
      <c r="H138" s="23">
        <f>IF(AND(F138&gt;0, A138&lt;=loanMonths), EMI, 0)</f>
        <v/>
      </c>
      <c r="I138" s="23">
        <f>IF(AND(F138&gt;0, A138&lt;=loanMonths), MAX(0, F138-MIN(EMI-G138, F138)), F138)</f>
        <v/>
      </c>
      <c r="J138" s="23">
        <f>K137</f>
        <v/>
      </c>
      <c r="K138" s="23">
        <f>J138*(1+mfMo)+H138-E138</f>
        <v/>
      </c>
      <c r="L138" s="23">
        <f>L137+E138</f>
        <v/>
      </c>
      <c r="M138" s="23">
        <f>M137+H138+MAX(0,-E138)</f>
        <v/>
      </c>
      <c r="N138" s="23">
        <f>N137+MAX(0,E138)</f>
        <v/>
      </c>
    </row>
    <row r="139">
      <c r="A139" s="24" t="n">
        <v>138</v>
      </c>
      <c r="B139" s="25">
        <f>propPrice*(1+monthlyAppn)^A139</f>
        <v/>
      </c>
      <c r="C139" s="25">
        <f>IF(A139&gt;=startRentalMonth, initRent*(1+monthlyRentInf)^(A139-1), 0)</f>
        <v/>
      </c>
      <c r="D139" s="25">
        <f>initMaint*(1+monthlyRentInf)^(A139-1)</f>
        <v/>
      </c>
      <c r="E139" s="25">
        <f>C139*(1-vacancyPct)-D139</f>
        <v/>
      </c>
      <c r="F139" s="25">
        <f>I138</f>
        <v/>
      </c>
      <c r="G139" s="25">
        <f>IF(AND(F139&gt;0, A139&lt;=loanMonths), F139*rMonthly, 0)</f>
        <v/>
      </c>
      <c r="H139" s="25">
        <f>IF(AND(F139&gt;0, A139&lt;=loanMonths), EMI, 0)</f>
        <v/>
      </c>
      <c r="I139" s="25">
        <f>IF(AND(F139&gt;0, A139&lt;=loanMonths), MAX(0, F139-MIN(EMI-G139, F139)), F139)</f>
        <v/>
      </c>
      <c r="J139" s="25">
        <f>K138</f>
        <v/>
      </c>
      <c r="K139" s="25">
        <f>J139*(1+mfMo)+H139-E139</f>
        <v/>
      </c>
      <c r="L139" s="25">
        <f>L138+E139</f>
        <v/>
      </c>
      <c r="M139" s="25">
        <f>M138+H139+MAX(0,-E139)</f>
        <v/>
      </c>
      <c r="N139" s="25">
        <f>N138+MAX(0,E139)</f>
        <v/>
      </c>
    </row>
    <row r="140">
      <c r="A140" s="22" t="n">
        <v>139</v>
      </c>
      <c r="B140" s="23">
        <f>propPrice*(1+monthlyAppn)^A140</f>
        <v/>
      </c>
      <c r="C140" s="23">
        <f>IF(A140&gt;=startRentalMonth, initRent*(1+monthlyRentInf)^(A140-1), 0)</f>
        <v/>
      </c>
      <c r="D140" s="23">
        <f>initMaint*(1+monthlyRentInf)^(A140-1)</f>
        <v/>
      </c>
      <c r="E140" s="23">
        <f>C140*(1-vacancyPct)-D140</f>
        <v/>
      </c>
      <c r="F140" s="23">
        <f>I139</f>
        <v/>
      </c>
      <c r="G140" s="23">
        <f>IF(AND(F140&gt;0, A140&lt;=loanMonths), F140*rMonthly, 0)</f>
        <v/>
      </c>
      <c r="H140" s="23">
        <f>IF(AND(F140&gt;0, A140&lt;=loanMonths), EMI, 0)</f>
        <v/>
      </c>
      <c r="I140" s="23">
        <f>IF(AND(F140&gt;0, A140&lt;=loanMonths), MAX(0, F140-MIN(EMI-G140, F140)), F140)</f>
        <v/>
      </c>
      <c r="J140" s="23">
        <f>K139</f>
        <v/>
      </c>
      <c r="K140" s="23">
        <f>J140*(1+mfMo)+H140-E140</f>
        <v/>
      </c>
      <c r="L140" s="23">
        <f>L139+E140</f>
        <v/>
      </c>
      <c r="M140" s="23">
        <f>M139+H140+MAX(0,-E140)</f>
        <v/>
      </c>
      <c r="N140" s="23">
        <f>N139+MAX(0,E140)</f>
        <v/>
      </c>
    </row>
    <row r="141">
      <c r="A141" s="24" t="n">
        <v>140</v>
      </c>
      <c r="B141" s="25">
        <f>propPrice*(1+monthlyAppn)^A141</f>
        <v/>
      </c>
      <c r="C141" s="25">
        <f>IF(A141&gt;=startRentalMonth, initRent*(1+monthlyRentInf)^(A141-1), 0)</f>
        <v/>
      </c>
      <c r="D141" s="25">
        <f>initMaint*(1+monthlyRentInf)^(A141-1)</f>
        <v/>
      </c>
      <c r="E141" s="25">
        <f>C141*(1-vacancyPct)-D141</f>
        <v/>
      </c>
      <c r="F141" s="25">
        <f>I140</f>
        <v/>
      </c>
      <c r="G141" s="25">
        <f>IF(AND(F141&gt;0, A141&lt;=loanMonths), F141*rMonthly, 0)</f>
        <v/>
      </c>
      <c r="H141" s="25">
        <f>IF(AND(F141&gt;0, A141&lt;=loanMonths), EMI, 0)</f>
        <v/>
      </c>
      <c r="I141" s="25">
        <f>IF(AND(F141&gt;0, A141&lt;=loanMonths), MAX(0, F141-MIN(EMI-G141, F141)), F141)</f>
        <v/>
      </c>
      <c r="J141" s="25">
        <f>K140</f>
        <v/>
      </c>
      <c r="K141" s="25">
        <f>J141*(1+mfMo)+H141-E141</f>
        <v/>
      </c>
      <c r="L141" s="25">
        <f>L140+E141</f>
        <v/>
      </c>
      <c r="M141" s="25">
        <f>M140+H141+MAX(0,-E141)</f>
        <v/>
      </c>
      <c r="N141" s="25">
        <f>N140+MAX(0,E141)</f>
        <v/>
      </c>
    </row>
    <row r="142">
      <c r="A142" s="22" t="n">
        <v>141</v>
      </c>
      <c r="B142" s="23">
        <f>propPrice*(1+monthlyAppn)^A142</f>
        <v/>
      </c>
      <c r="C142" s="23">
        <f>IF(A142&gt;=startRentalMonth, initRent*(1+monthlyRentInf)^(A142-1), 0)</f>
        <v/>
      </c>
      <c r="D142" s="23">
        <f>initMaint*(1+monthlyRentInf)^(A142-1)</f>
        <v/>
      </c>
      <c r="E142" s="23">
        <f>C142*(1-vacancyPct)-D142</f>
        <v/>
      </c>
      <c r="F142" s="23">
        <f>I141</f>
        <v/>
      </c>
      <c r="G142" s="23">
        <f>IF(AND(F142&gt;0, A142&lt;=loanMonths), F142*rMonthly, 0)</f>
        <v/>
      </c>
      <c r="H142" s="23">
        <f>IF(AND(F142&gt;0, A142&lt;=loanMonths), EMI, 0)</f>
        <v/>
      </c>
      <c r="I142" s="23">
        <f>IF(AND(F142&gt;0, A142&lt;=loanMonths), MAX(0, F142-MIN(EMI-G142, F142)), F142)</f>
        <v/>
      </c>
      <c r="J142" s="23">
        <f>K141</f>
        <v/>
      </c>
      <c r="K142" s="23">
        <f>J142*(1+mfMo)+H142-E142</f>
        <v/>
      </c>
      <c r="L142" s="23">
        <f>L141+E142</f>
        <v/>
      </c>
      <c r="M142" s="23">
        <f>M141+H142+MAX(0,-E142)</f>
        <v/>
      </c>
      <c r="N142" s="23">
        <f>N141+MAX(0,E142)</f>
        <v/>
      </c>
    </row>
    <row r="143">
      <c r="A143" s="24" t="n">
        <v>142</v>
      </c>
      <c r="B143" s="25">
        <f>propPrice*(1+monthlyAppn)^A143</f>
        <v/>
      </c>
      <c r="C143" s="25">
        <f>IF(A143&gt;=startRentalMonth, initRent*(1+monthlyRentInf)^(A143-1), 0)</f>
        <v/>
      </c>
      <c r="D143" s="25">
        <f>initMaint*(1+monthlyRentInf)^(A143-1)</f>
        <v/>
      </c>
      <c r="E143" s="25">
        <f>C143*(1-vacancyPct)-D143</f>
        <v/>
      </c>
      <c r="F143" s="25">
        <f>I142</f>
        <v/>
      </c>
      <c r="G143" s="25">
        <f>IF(AND(F143&gt;0, A143&lt;=loanMonths), F143*rMonthly, 0)</f>
        <v/>
      </c>
      <c r="H143" s="25">
        <f>IF(AND(F143&gt;0, A143&lt;=loanMonths), EMI, 0)</f>
        <v/>
      </c>
      <c r="I143" s="25">
        <f>IF(AND(F143&gt;0, A143&lt;=loanMonths), MAX(0, F143-MIN(EMI-G143, F143)), F143)</f>
        <v/>
      </c>
      <c r="J143" s="25">
        <f>K142</f>
        <v/>
      </c>
      <c r="K143" s="25">
        <f>J143*(1+mfMo)+H143-E143</f>
        <v/>
      </c>
      <c r="L143" s="25">
        <f>L142+E143</f>
        <v/>
      </c>
      <c r="M143" s="25">
        <f>M142+H143+MAX(0,-E143)</f>
        <v/>
      </c>
      <c r="N143" s="25">
        <f>N142+MAX(0,E143)</f>
        <v/>
      </c>
    </row>
    <row r="144">
      <c r="A144" s="22" t="n">
        <v>143</v>
      </c>
      <c r="B144" s="23">
        <f>propPrice*(1+monthlyAppn)^A144</f>
        <v/>
      </c>
      <c r="C144" s="23">
        <f>IF(A144&gt;=startRentalMonth, initRent*(1+monthlyRentInf)^(A144-1), 0)</f>
        <v/>
      </c>
      <c r="D144" s="23">
        <f>initMaint*(1+monthlyRentInf)^(A144-1)</f>
        <v/>
      </c>
      <c r="E144" s="23">
        <f>C144*(1-vacancyPct)-D144</f>
        <v/>
      </c>
      <c r="F144" s="23">
        <f>I143</f>
        <v/>
      </c>
      <c r="G144" s="23">
        <f>IF(AND(F144&gt;0, A144&lt;=loanMonths), F144*rMonthly, 0)</f>
        <v/>
      </c>
      <c r="H144" s="23">
        <f>IF(AND(F144&gt;0, A144&lt;=loanMonths), EMI, 0)</f>
        <v/>
      </c>
      <c r="I144" s="23">
        <f>IF(AND(F144&gt;0, A144&lt;=loanMonths), MAX(0, F144-MIN(EMI-G144, F144)), F144)</f>
        <v/>
      </c>
      <c r="J144" s="23">
        <f>K143</f>
        <v/>
      </c>
      <c r="K144" s="23">
        <f>J144*(1+mfMo)+H144-E144</f>
        <v/>
      </c>
      <c r="L144" s="23">
        <f>L143+E144</f>
        <v/>
      </c>
      <c r="M144" s="23">
        <f>M143+H144+MAX(0,-E144)</f>
        <v/>
      </c>
      <c r="N144" s="23">
        <f>N143+MAX(0,E144)</f>
        <v/>
      </c>
    </row>
    <row r="145">
      <c r="A145" s="24" t="n">
        <v>144</v>
      </c>
      <c r="B145" s="25">
        <f>propPrice*(1+monthlyAppn)^A145</f>
        <v/>
      </c>
      <c r="C145" s="25">
        <f>IF(A145&gt;=startRentalMonth, initRent*(1+monthlyRentInf)^(A145-1), 0)</f>
        <v/>
      </c>
      <c r="D145" s="25">
        <f>initMaint*(1+monthlyRentInf)^(A145-1)</f>
        <v/>
      </c>
      <c r="E145" s="25">
        <f>C145*(1-vacancyPct)-D145</f>
        <v/>
      </c>
      <c r="F145" s="25">
        <f>I144</f>
        <v/>
      </c>
      <c r="G145" s="25">
        <f>IF(AND(F145&gt;0, A145&lt;=loanMonths), F145*rMonthly, 0)</f>
        <v/>
      </c>
      <c r="H145" s="25">
        <f>IF(AND(F145&gt;0, A145&lt;=loanMonths), EMI, 0)</f>
        <v/>
      </c>
      <c r="I145" s="25">
        <f>IF(AND(F145&gt;0, A145&lt;=loanMonths), MAX(0, F145-MIN(EMI-G145, F145)), F145)</f>
        <v/>
      </c>
      <c r="J145" s="25">
        <f>K144</f>
        <v/>
      </c>
      <c r="K145" s="25">
        <f>J145*(1+mfMo)+H145-E145</f>
        <v/>
      </c>
      <c r="L145" s="25">
        <f>L144+E145</f>
        <v/>
      </c>
      <c r="M145" s="25">
        <f>M144+H145+MAX(0,-E145)</f>
        <v/>
      </c>
      <c r="N145" s="25">
        <f>N144+MAX(0,E145)</f>
        <v/>
      </c>
    </row>
    <row r="146">
      <c r="A146" s="22" t="n">
        <v>145</v>
      </c>
      <c r="B146" s="23">
        <f>propPrice*(1+monthlyAppn)^A146</f>
        <v/>
      </c>
      <c r="C146" s="23">
        <f>IF(A146&gt;=startRentalMonth, initRent*(1+monthlyRentInf)^(A146-1), 0)</f>
        <v/>
      </c>
      <c r="D146" s="23">
        <f>initMaint*(1+monthlyRentInf)^(A146-1)</f>
        <v/>
      </c>
      <c r="E146" s="23">
        <f>C146*(1-vacancyPct)-D146</f>
        <v/>
      </c>
      <c r="F146" s="23">
        <f>I145</f>
        <v/>
      </c>
      <c r="G146" s="23">
        <f>IF(AND(F146&gt;0, A146&lt;=loanMonths), F146*rMonthly, 0)</f>
        <v/>
      </c>
      <c r="H146" s="23">
        <f>IF(AND(F146&gt;0, A146&lt;=loanMonths), EMI, 0)</f>
        <v/>
      </c>
      <c r="I146" s="23">
        <f>IF(AND(F146&gt;0, A146&lt;=loanMonths), MAX(0, F146-MIN(EMI-G146, F146)), F146)</f>
        <v/>
      </c>
      <c r="J146" s="23">
        <f>K145</f>
        <v/>
      </c>
      <c r="K146" s="23">
        <f>J146*(1+mfMo)+H146-E146</f>
        <v/>
      </c>
      <c r="L146" s="23">
        <f>L145+E146</f>
        <v/>
      </c>
      <c r="M146" s="23">
        <f>M145+H146+MAX(0,-E146)</f>
        <v/>
      </c>
      <c r="N146" s="23">
        <f>N145+MAX(0,E146)</f>
        <v/>
      </c>
    </row>
    <row r="147">
      <c r="A147" s="24" t="n">
        <v>146</v>
      </c>
      <c r="B147" s="25">
        <f>propPrice*(1+monthlyAppn)^A147</f>
        <v/>
      </c>
      <c r="C147" s="25">
        <f>IF(A147&gt;=startRentalMonth, initRent*(1+monthlyRentInf)^(A147-1), 0)</f>
        <v/>
      </c>
      <c r="D147" s="25">
        <f>initMaint*(1+monthlyRentInf)^(A147-1)</f>
        <v/>
      </c>
      <c r="E147" s="25">
        <f>C147*(1-vacancyPct)-D147</f>
        <v/>
      </c>
      <c r="F147" s="25">
        <f>I146</f>
        <v/>
      </c>
      <c r="G147" s="25">
        <f>IF(AND(F147&gt;0, A147&lt;=loanMonths), F147*rMonthly, 0)</f>
        <v/>
      </c>
      <c r="H147" s="25">
        <f>IF(AND(F147&gt;0, A147&lt;=loanMonths), EMI, 0)</f>
        <v/>
      </c>
      <c r="I147" s="25">
        <f>IF(AND(F147&gt;0, A147&lt;=loanMonths), MAX(0, F147-MIN(EMI-G147, F147)), F147)</f>
        <v/>
      </c>
      <c r="J147" s="25">
        <f>K146</f>
        <v/>
      </c>
      <c r="K147" s="25">
        <f>J147*(1+mfMo)+H147-E147</f>
        <v/>
      </c>
      <c r="L147" s="25">
        <f>L146+E147</f>
        <v/>
      </c>
      <c r="M147" s="25">
        <f>M146+H147+MAX(0,-E147)</f>
        <v/>
      </c>
      <c r="N147" s="25">
        <f>N146+MAX(0,E147)</f>
        <v/>
      </c>
    </row>
    <row r="148">
      <c r="A148" s="22" t="n">
        <v>147</v>
      </c>
      <c r="B148" s="23">
        <f>propPrice*(1+monthlyAppn)^A148</f>
        <v/>
      </c>
      <c r="C148" s="23">
        <f>IF(A148&gt;=startRentalMonth, initRent*(1+monthlyRentInf)^(A148-1), 0)</f>
        <v/>
      </c>
      <c r="D148" s="23">
        <f>initMaint*(1+monthlyRentInf)^(A148-1)</f>
        <v/>
      </c>
      <c r="E148" s="23">
        <f>C148*(1-vacancyPct)-D148</f>
        <v/>
      </c>
      <c r="F148" s="23">
        <f>I147</f>
        <v/>
      </c>
      <c r="G148" s="23">
        <f>IF(AND(F148&gt;0, A148&lt;=loanMonths), F148*rMonthly, 0)</f>
        <v/>
      </c>
      <c r="H148" s="23">
        <f>IF(AND(F148&gt;0, A148&lt;=loanMonths), EMI, 0)</f>
        <v/>
      </c>
      <c r="I148" s="23">
        <f>IF(AND(F148&gt;0, A148&lt;=loanMonths), MAX(0, F148-MIN(EMI-G148, F148)), F148)</f>
        <v/>
      </c>
      <c r="J148" s="23">
        <f>K147</f>
        <v/>
      </c>
      <c r="K148" s="23">
        <f>J148*(1+mfMo)+H148-E148</f>
        <v/>
      </c>
      <c r="L148" s="23">
        <f>L147+E148</f>
        <v/>
      </c>
      <c r="M148" s="23">
        <f>M147+H148+MAX(0,-E148)</f>
        <v/>
      </c>
      <c r="N148" s="23">
        <f>N147+MAX(0,E148)</f>
        <v/>
      </c>
    </row>
    <row r="149">
      <c r="A149" s="24" t="n">
        <v>148</v>
      </c>
      <c r="B149" s="25">
        <f>propPrice*(1+monthlyAppn)^A149</f>
        <v/>
      </c>
      <c r="C149" s="25">
        <f>IF(A149&gt;=startRentalMonth, initRent*(1+monthlyRentInf)^(A149-1), 0)</f>
        <v/>
      </c>
      <c r="D149" s="25">
        <f>initMaint*(1+monthlyRentInf)^(A149-1)</f>
        <v/>
      </c>
      <c r="E149" s="25">
        <f>C149*(1-vacancyPct)-D149</f>
        <v/>
      </c>
      <c r="F149" s="25">
        <f>I148</f>
        <v/>
      </c>
      <c r="G149" s="25">
        <f>IF(AND(F149&gt;0, A149&lt;=loanMonths), F149*rMonthly, 0)</f>
        <v/>
      </c>
      <c r="H149" s="25">
        <f>IF(AND(F149&gt;0, A149&lt;=loanMonths), EMI, 0)</f>
        <v/>
      </c>
      <c r="I149" s="25">
        <f>IF(AND(F149&gt;0, A149&lt;=loanMonths), MAX(0, F149-MIN(EMI-G149, F149)), F149)</f>
        <v/>
      </c>
      <c r="J149" s="25">
        <f>K148</f>
        <v/>
      </c>
      <c r="K149" s="25">
        <f>J149*(1+mfMo)+H149-E149</f>
        <v/>
      </c>
      <c r="L149" s="25">
        <f>L148+E149</f>
        <v/>
      </c>
      <c r="M149" s="25">
        <f>M148+H149+MAX(0,-E149)</f>
        <v/>
      </c>
      <c r="N149" s="25">
        <f>N148+MAX(0,E149)</f>
        <v/>
      </c>
    </row>
    <row r="150">
      <c r="A150" s="22" t="n">
        <v>149</v>
      </c>
      <c r="B150" s="23">
        <f>propPrice*(1+monthlyAppn)^A150</f>
        <v/>
      </c>
      <c r="C150" s="23">
        <f>IF(A150&gt;=startRentalMonth, initRent*(1+monthlyRentInf)^(A150-1), 0)</f>
        <v/>
      </c>
      <c r="D150" s="23">
        <f>initMaint*(1+monthlyRentInf)^(A150-1)</f>
        <v/>
      </c>
      <c r="E150" s="23">
        <f>C150*(1-vacancyPct)-D150</f>
        <v/>
      </c>
      <c r="F150" s="23">
        <f>I149</f>
        <v/>
      </c>
      <c r="G150" s="23">
        <f>IF(AND(F150&gt;0, A150&lt;=loanMonths), F150*rMonthly, 0)</f>
        <v/>
      </c>
      <c r="H150" s="23">
        <f>IF(AND(F150&gt;0, A150&lt;=loanMonths), EMI, 0)</f>
        <v/>
      </c>
      <c r="I150" s="23">
        <f>IF(AND(F150&gt;0, A150&lt;=loanMonths), MAX(0, F150-MIN(EMI-G150, F150)), F150)</f>
        <v/>
      </c>
      <c r="J150" s="23">
        <f>K149</f>
        <v/>
      </c>
      <c r="K150" s="23">
        <f>J150*(1+mfMo)+H150-E150</f>
        <v/>
      </c>
      <c r="L150" s="23">
        <f>L149+E150</f>
        <v/>
      </c>
      <c r="M150" s="23">
        <f>M149+H150+MAX(0,-E150)</f>
        <v/>
      </c>
      <c r="N150" s="23">
        <f>N149+MAX(0,E150)</f>
        <v/>
      </c>
    </row>
    <row r="151">
      <c r="A151" s="24" t="n">
        <v>150</v>
      </c>
      <c r="B151" s="25">
        <f>propPrice*(1+monthlyAppn)^A151</f>
        <v/>
      </c>
      <c r="C151" s="25">
        <f>IF(A151&gt;=startRentalMonth, initRent*(1+monthlyRentInf)^(A151-1), 0)</f>
        <v/>
      </c>
      <c r="D151" s="25">
        <f>initMaint*(1+monthlyRentInf)^(A151-1)</f>
        <v/>
      </c>
      <c r="E151" s="25">
        <f>C151*(1-vacancyPct)-D151</f>
        <v/>
      </c>
      <c r="F151" s="25">
        <f>I150</f>
        <v/>
      </c>
      <c r="G151" s="25">
        <f>IF(AND(F151&gt;0, A151&lt;=loanMonths), F151*rMonthly, 0)</f>
        <v/>
      </c>
      <c r="H151" s="25">
        <f>IF(AND(F151&gt;0, A151&lt;=loanMonths), EMI, 0)</f>
        <v/>
      </c>
      <c r="I151" s="25">
        <f>IF(AND(F151&gt;0, A151&lt;=loanMonths), MAX(0, F151-MIN(EMI-G151, F151)), F151)</f>
        <v/>
      </c>
      <c r="J151" s="25">
        <f>K150</f>
        <v/>
      </c>
      <c r="K151" s="25">
        <f>J151*(1+mfMo)+H151-E151</f>
        <v/>
      </c>
      <c r="L151" s="25">
        <f>L150+E151</f>
        <v/>
      </c>
      <c r="M151" s="25">
        <f>M150+H151+MAX(0,-E151)</f>
        <v/>
      </c>
      <c r="N151" s="25">
        <f>N150+MAX(0,E151)</f>
        <v/>
      </c>
    </row>
    <row r="152">
      <c r="A152" s="22" t="n">
        <v>151</v>
      </c>
      <c r="B152" s="23">
        <f>propPrice*(1+monthlyAppn)^A152</f>
        <v/>
      </c>
      <c r="C152" s="23">
        <f>IF(A152&gt;=startRentalMonth, initRent*(1+monthlyRentInf)^(A152-1), 0)</f>
        <v/>
      </c>
      <c r="D152" s="23">
        <f>initMaint*(1+monthlyRentInf)^(A152-1)</f>
        <v/>
      </c>
      <c r="E152" s="23">
        <f>C152*(1-vacancyPct)-D152</f>
        <v/>
      </c>
      <c r="F152" s="23">
        <f>I151</f>
        <v/>
      </c>
      <c r="G152" s="23">
        <f>IF(AND(F152&gt;0, A152&lt;=loanMonths), F152*rMonthly, 0)</f>
        <v/>
      </c>
      <c r="H152" s="23">
        <f>IF(AND(F152&gt;0, A152&lt;=loanMonths), EMI, 0)</f>
        <v/>
      </c>
      <c r="I152" s="23">
        <f>IF(AND(F152&gt;0, A152&lt;=loanMonths), MAX(0, F152-MIN(EMI-G152, F152)), F152)</f>
        <v/>
      </c>
      <c r="J152" s="23">
        <f>K151</f>
        <v/>
      </c>
      <c r="K152" s="23">
        <f>J152*(1+mfMo)+H152-E152</f>
        <v/>
      </c>
      <c r="L152" s="23">
        <f>L151+E152</f>
        <v/>
      </c>
      <c r="M152" s="23">
        <f>M151+H152+MAX(0,-E152)</f>
        <v/>
      </c>
      <c r="N152" s="23">
        <f>N151+MAX(0,E152)</f>
        <v/>
      </c>
    </row>
    <row r="153">
      <c r="A153" s="24" t="n">
        <v>152</v>
      </c>
      <c r="B153" s="25">
        <f>propPrice*(1+monthlyAppn)^A153</f>
        <v/>
      </c>
      <c r="C153" s="25">
        <f>IF(A153&gt;=startRentalMonth, initRent*(1+monthlyRentInf)^(A153-1), 0)</f>
        <v/>
      </c>
      <c r="D153" s="25">
        <f>initMaint*(1+monthlyRentInf)^(A153-1)</f>
        <v/>
      </c>
      <c r="E153" s="25">
        <f>C153*(1-vacancyPct)-D153</f>
        <v/>
      </c>
      <c r="F153" s="25">
        <f>I152</f>
        <v/>
      </c>
      <c r="G153" s="25">
        <f>IF(AND(F153&gt;0, A153&lt;=loanMonths), F153*rMonthly, 0)</f>
        <v/>
      </c>
      <c r="H153" s="25">
        <f>IF(AND(F153&gt;0, A153&lt;=loanMonths), EMI, 0)</f>
        <v/>
      </c>
      <c r="I153" s="25">
        <f>IF(AND(F153&gt;0, A153&lt;=loanMonths), MAX(0, F153-MIN(EMI-G153, F153)), F153)</f>
        <v/>
      </c>
      <c r="J153" s="25">
        <f>K152</f>
        <v/>
      </c>
      <c r="K153" s="25">
        <f>J153*(1+mfMo)+H153-E153</f>
        <v/>
      </c>
      <c r="L153" s="25">
        <f>L152+E153</f>
        <v/>
      </c>
      <c r="M153" s="25">
        <f>M152+H153+MAX(0,-E153)</f>
        <v/>
      </c>
      <c r="N153" s="25">
        <f>N152+MAX(0,E153)</f>
        <v/>
      </c>
    </row>
    <row r="154">
      <c r="A154" s="22" t="n">
        <v>153</v>
      </c>
      <c r="B154" s="23">
        <f>propPrice*(1+monthlyAppn)^A154</f>
        <v/>
      </c>
      <c r="C154" s="23">
        <f>IF(A154&gt;=startRentalMonth, initRent*(1+monthlyRentInf)^(A154-1), 0)</f>
        <v/>
      </c>
      <c r="D154" s="23">
        <f>initMaint*(1+monthlyRentInf)^(A154-1)</f>
        <v/>
      </c>
      <c r="E154" s="23">
        <f>C154*(1-vacancyPct)-D154</f>
        <v/>
      </c>
      <c r="F154" s="23">
        <f>I153</f>
        <v/>
      </c>
      <c r="G154" s="23">
        <f>IF(AND(F154&gt;0, A154&lt;=loanMonths), F154*rMonthly, 0)</f>
        <v/>
      </c>
      <c r="H154" s="23">
        <f>IF(AND(F154&gt;0, A154&lt;=loanMonths), EMI, 0)</f>
        <v/>
      </c>
      <c r="I154" s="23">
        <f>IF(AND(F154&gt;0, A154&lt;=loanMonths), MAX(0, F154-MIN(EMI-G154, F154)), F154)</f>
        <v/>
      </c>
      <c r="J154" s="23">
        <f>K153</f>
        <v/>
      </c>
      <c r="K154" s="23">
        <f>J154*(1+mfMo)+H154-E154</f>
        <v/>
      </c>
      <c r="L154" s="23">
        <f>L153+E154</f>
        <v/>
      </c>
      <c r="M154" s="23">
        <f>M153+H154+MAX(0,-E154)</f>
        <v/>
      </c>
      <c r="N154" s="23">
        <f>N153+MAX(0,E154)</f>
        <v/>
      </c>
    </row>
    <row r="155">
      <c r="A155" s="24" t="n">
        <v>154</v>
      </c>
      <c r="B155" s="25">
        <f>propPrice*(1+monthlyAppn)^A155</f>
        <v/>
      </c>
      <c r="C155" s="25">
        <f>IF(A155&gt;=startRentalMonth, initRent*(1+monthlyRentInf)^(A155-1), 0)</f>
        <v/>
      </c>
      <c r="D155" s="25">
        <f>initMaint*(1+monthlyRentInf)^(A155-1)</f>
        <v/>
      </c>
      <c r="E155" s="25">
        <f>C155*(1-vacancyPct)-D155</f>
        <v/>
      </c>
      <c r="F155" s="25">
        <f>I154</f>
        <v/>
      </c>
      <c r="G155" s="25">
        <f>IF(AND(F155&gt;0, A155&lt;=loanMonths), F155*rMonthly, 0)</f>
        <v/>
      </c>
      <c r="H155" s="25">
        <f>IF(AND(F155&gt;0, A155&lt;=loanMonths), EMI, 0)</f>
        <v/>
      </c>
      <c r="I155" s="25">
        <f>IF(AND(F155&gt;0, A155&lt;=loanMonths), MAX(0, F155-MIN(EMI-G155, F155)), F155)</f>
        <v/>
      </c>
      <c r="J155" s="25">
        <f>K154</f>
        <v/>
      </c>
      <c r="K155" s="25">
        <f>J155*(1+mfMo)+H155-E155</f>
        <v/>
      </c>
      <c r="L155" s="25">
        <f>L154+E155</f>
        <v/>
      </c>
      <c r="M155" s="25">
        <f>M154+H155+MAX(0,-E155)</f>
        <v/>
      </c>
      <c r="N155" s="25">
        <f>N154+MAX(0,E155)</f>
        <v/>
      </c>
    </row>
    <row r="156">
      <c r="A156" s="22" t="n">
        <v>155</v>
      </c>
      <c r="B156" s="23">
        <f>propPrice*(1+monthlyAppn)^A156</f>
        <v/>
      </c>
      <c r="C156" s="23">
        <f>IF(A156&gt;=startRentalMonth, initRent*(1+monthlyRentInf)^(A156-1), 0)</f>
        <v/>
      </c>
      <c r="D156" s="23">
        <f>initMaint*(1+monthlyRentInf)^(A156-1)</f>
        <v/>
      </c>
      <c r="E156" s="23">
        <f>C156*(1-vacancyPct)-D156</f>
        <v/>
      </c>
      <c r="F156" s="23">
        <f>I155</f>
        <v/>
      </c>
      <c r="G156" s="23">
        <f>IF(AND(F156&gt;0, A156&lt;=loanMonths), F156*rMonthly, 0)</f>
        <v/>
      </c>
      <c r="H156" s="23">
        <f>IF(AND(F156&gt;0, A156&lt;=loanMonths), EMI, 0)</f>
        <v/>
      </c>
      <c r="I156" s="23">
        <f>IF(AND(F156&gt;0, A156&lt;=loanMonths), MAX(0, F156-MIN(EMI-G156, F156)), F156)</f>
        <v/>
      </c>
      <c r="J156" s="23">
        <f>K155</f>
        <v/>
      </c>
      <c r="K156" s="23">
        <f>J156*(1+mfMo)+H156-E156</f>
        <v/>
      </c>
      <c r="L156" s="23">
        <f>L155+E156</f>
        <v/>
      </c>
      <c r="M156" s="23">
        <f>M155+H156+MAX(0,-E156)</f>
        <v/>
      </c>
      <c r="N156" s="23">
        <f>N155+MAX(0,E156)</f>
        <v/>
      </c>
    </row>
    <row r="157">
      <c r="A157" s="24" t="n">
        <v>156</v>
      </c>
      <c r="B157" s="25">
        <f>propPrice*(1+monthlyAppn)^A157</f>
        <v/>
      </c>
      <c r="C157" s="25">
        <f>IF(A157&gt;=startRentalMonth, initRent*(1+monthlyRentInf)^(A157-1), 0)</f>
        <v/>
      </c>
      <c r="D157" s="25">
        <f>initMaint*(1+monthlyRentInf)^(A157-1)</f>
        <v/>
      </c>
      <c r="E157" s="25">
        <f>C157*(1-vacancyPct)-D157</f>
        <v/>
      </c>
      <c r="F157" s="25">
        <f>I156</f>
        <v/>
      </c>
      <c r="G157" s="25">
        <f>IF(AND(F157&gt;0, A157&lt;=loanMonths), F157*rMonthly, 0)</f>
        <v/>
      </c>
      <c r="H157" s="25">
        <f>IF(AND(F157&gt;0, A157&lt;=loanMonths), EMI, 0)</f>
        <v/>
      </c>
      <c r="I157" s="25">
        <f>IF(AND(F157&gt;0, A157&lt;=loanMonths), MAX(0, F157-MIN(EMI-G157, F157)), F157)</f>
        <v/>
      </c>
      <c r="J157" s="25">
        <f>K156</f>
        <v/>
      </c>
      <c r="K157" s="25">
        <f>J157*(1+mfMo)+H157-E157</f>
        <v/>
      </c>
      <c r="L157" s="25">
        <f>L156+E157</f>
        <v/>
      </c>
      <c r="M157" s="25">
        <f>M156+H157+MAX(0,-E157)</f>
        <v/>
      </c>
      <c r="N157" s="25">
        <f>N156+MAX(0,E157)</f>
        <v/>
      </c>
    </row>
    <row r="158">
      <c r="A158" s="22" t="n">
        <v>157</v>
      </c>
      <c r="B158" s="23">
        <f>propPrice*(1+monthlyAppn)^A158</f>
        <v/>
      </c>
      <c r="C158" s="23">
        <f>IF(A158&gt;=startRentalMonth, initRent*(1+monthlyRentInf)^(A158-1), 0)</f>
        <v/>
      </c>
      <c r="D158" s="23">
        <f>initMaint*(1+monthlyRentInf)^(A158-1)</f>
        <v/>
      </c>
      <c r="E158" s="23">
        <f>C158*(1-vacancyPct)-D158</f>
        <v/>
      </c>
      <c r="F158" s="23">
        <f>I157</f>
        <v/>
      </c>
      <c r="G158" s="23">
        <f>IF(AND(F158&gt;0, A158&lt;=loanMonths), F158*rMonthly, 0)</f>
        <v/>
      </c>
      <c r="H158" s="23">
        <f>IF(AND(F158&gt;0, A158&lt;=loanMonths), EMI, 0)</f>
        <v/>
      </c>
      <c r="I158" s="23">
        <f>IF(AND(F158&gt;0, A158&lt;=loanMonths), MAX(0, F158-MIN(EMI-G158, F158)), F158)</f>
        <v/>
      </c>
      <c r="J158" s="23">
        <f>K157</f>
        <v/>
      </c>
      <c r="K158" s="23">
        <f>J158*(1+mfMo)+H158-E158</f>
        <v/>
      </c>
      <c r="L158" s="23">
        <f>L157+E158</f>
        <v/>
      </c>
      <c r="M158" s="23">
        <f>M157+H158+MAX(0,-E158)</f>
        <v/>
      </c>
      <c r="N158" s="23">
        <f>N157+MAX(0,E158)</f>
        <v/>
      </c>
    </row>
    <row r="159">
      <c r="A159" s="24" t="n">
        <v>158</v>
      </c>
      <c r="B159" s="25">
        <f>propPrice*(1+monthlyAppn)^A159</f>
        <v/>
      </c>
      <c r="C159" s="25">
        <f>IF(A159&gt;=startRentalMonth, initRent*(1+monthlyRentInf)^(A159-1), 0)</f>
        <v/>
      </c>
      <c r="D159" s="25">
        <f>initMaint*(1+monthlyRentInf)^(A159-1)</f>
        <v/>
      </c>
      <c r="E159" s="25">
        <f>C159*(1-vacancyPct)-D159</f>
        <v/>
      </c>
      <c r="F159" s="25">
        <f>I158</f>
        <v/>
      </c>
      <c r="G159" s="25">
        <f>IF(AND(F159&gt;0, A159&lt;=loanMonths), F159*rMonthly, 0)</f>
        <v/>
      </c>
      <c r="H159" s="25">
        <f>IF(AND(F159&gt;0, A159&lt;=loanMonths), EMI, 0)</f>
        <v/>
      </c>
      <c r="I159" s="25">
        <f>IF(AND(F159&gt;0, A159&lt;=loanMonths), MAX(0, F159-MIN(EMI-G159, F159)), F159)</f>
        <v/>
      </c>
      <c r="J159" s="25">
        <f>K158</f>
        <v/>
      </c>
      <c r="K159" s="25">
        <f>J159*(1+mfMo)+H159-E159</f>
        <v/>
      </c>
      <c r="L159" s="25">
        <f>L158+E159</f>
        <v/>
      </c>
      <c r="M159" s="25">
        <f>M158+H159+MAX(0,-E159)</f>
        <v/>
      </c>
      <c r="N159" s="25">
        <f>N158+MAX(0,E159)</f>
        <v/>
      </c>
    </row>
    <row r="160">
      <c r="A160" s="22" t="n">
        <v>159</v>
      </c>
      <c r="B160" s="23">
        <f>propPrice*(1+monthlyAppn)^A160</f>
        <v/>
      </c>
      <c r="C160" s="23">
        <f>IF(A160&gt;=startRentalMonth, initRent*(1+monthlyRentInf)^(A160-1), 0)</f>
        <v/>
      </c>
      <c r="D160" s="23">
        <f>initMaint*(1+monthlyRentInf)^(A160-1)</f>
        <v/>
      </c>
      <c r="E160" s="23">
        <f>C160*(1-vacancyPct)-D160</f>
        <v/>
      </c>
      <c r="F160" s="23">
        <f>I159</f>
        <v/>
      </c>
      <c r="G160" s="23">
        <f>IF(AND(F160&gt;0, A160&lt;=loanMonths), F160*rMonthly, 0)</f>
        <v/>
      </c>
      <c r="H160" s="23">
        <f>IF(AND(F160&gt;0, A160&lt;=loanMonths), EMI, 0)</f>
        <v/>
      </c>
      <c r="I160" s="23">
        <f>IF(AND(F160&gt;0, A160&lt;=loanMonths), MAX(0, F160-MIN(EMI-G160, F160)), F160)</f>
        <v/>
      </c>
      <c r="J160" s="23">
        <f>K159</f>
        <v/>
      </c>
      <c r="K160" s="23">
        <f>J160*(1+mfMo)+H160-E160</f>
        <v/>
      </c>
      <c r="L160" s="23">
        <f>L159+E160</f>
        <v/>
      </c>
      <c r="M160" s="23">
        <f>M159+H160+MAX(0,-E160)</f>
        <v/>
      </c>
      <c r="N160" s="23">
        <f>N159+MAX(0,E160)</f>
        <v/>
      </c>
    </row>
    <row r="161">
      <c r="A161" s="24" t="n">
        <v>160</v>
      </c>
      <c r="B161" s="25">
        <f>propPrice*(1+monthlyAppn)^A161</f>
        <v/>
      </c>
      <c r="C161" s="25">
        <f>IF(A161&gt;=startRentalMonth, initRent*(1+monthlyRentInf)^(A161-1), 0)</f>
        <v/>
      </c>
      <c r="D161" s="25">
        <f>initMaint*(1+monthlyRentInf)^(A161-1)</f>
        <v/>
      </c>
      <c r="E161" s="25">
        <f>C161*(1-vacancyPct)-D161</f>
        <v/>
      </c>
      <c r="F161" s="25">
        <f>I160</f>
        <v/>
      </c>
      <c r="G161" s="25">
        <f>IF(AND(F161&gt;0, A161&lt;=loanMonths), F161*rMonthly, 0)</f>
        <v/>
      </c>
      <c r="H161" s="25">
        <f>IF(AND(F161&gt;0, A161&lt;=loanMonths), EMI, 0)</f>
        <v/>
      </c>
      <c r="I161" s="25">
        <f>IF(AND(F161&gt;0, A161&lt;=loanMonths), MAX(0, F161-MIN(EMI-G161, F161)), F161)</f>
        <v/>
      </c>
      <c r="J161" s="25">
        <f>K160</f>
        <v/>
      </c>
      <c r="K161" s="25">
        <f>J161*(1+mfMo)+H161-E161</f>
        <v/>
      </c>
      <c r="L161" s="25">
        <f>L160+E161</f>
        <v/>
      </c>
      <c r="M161" s="25">
        <f>M160+H161+MAX(0,-E161)</f>
        <v/>
      </c>
      <c r="N161" s="25">
        <f>N160+MAX(0,E161)</f>
        <v/>
      </c>
    </row>
    <row r="162">
      <c r="A162" s="22" t="n">
        <v>161</v>
      </c>
      <c r="B162" s="23">
        <f>propPrice*(1+monthlyAppn)^A162</f>
        <v/>
      </c>
      <c r="C162" s="23">
        <f>IF(A162&gt;=startRentalMonth, initRent*(1+monthlyRentInf)^(A162-1), 0)</f>
        <v/>
      </c>
      <c r="D162" s="23">
        <f>initMaint*(1+monthlyRentInf)^(A162-1)</f>
        <v/>
      </c>
      <c r="E162" s="23">
        <f>C162*(1-vacancyPct)-D162</f>
        <v/>
      </c>
      <c r="F162" s="23">
        <f>I161</f>
        <v/>
      </c>
      <c r="G162" s="23">
        <f>IF(AND(F162&gt;0, A162&lt;=loanMonths), F162*rMonthly, 0)</f>
        <v/>
      </c>
      <c r="H162" s="23">
        <f>IF(AND(F162&gt;0, A162&lt;=loanMonths), EMI, 0)</f>
        <v/>
      </c>
      <c r="I162" s="23">
        <f>IF(AND(F162&gt;0, A162&lt;=loanMonths), MAX(0, F162-MIN(EMI-G162, F162)), F162)</f>
        <v/>
      </c>
      <c r="J162" s="23">
        <f>K161</f>
        <v/>
      </c>
      <c r="K162" s="23">
        <f>J162*(1+mfMo)+H162-E162</f>
        <v/>
      </c>
      <c r="L162" s="23">
        <f>L161+E162</f>
        <v/>
      </c>
      <c r="M162" s="23">
        <f>M161+H162+MAX(0,-E162)</f>
        <v/>
      </c>
      <c r="N162" s="23">
        <f>N161+MAX(0,E162)</f>
        <v/>
      </c>
    </row>
    <row r="163">
      <c r="A163" s="24" t="n">
        <v>162</v>
      </c>
      <c r="B163" s="25">
        <f>propPrice*(1+monthlyAppn)^A163</f>
        <v/>
      </c>
      <c r="C163" s="25">
        <f>IF(A163&gt;=startRentalMonth, initRent*(1+monthlyRentInf)^(A163-1), 0)</f>
        <v/>
      </c>
      <c r="D163" s="25">
        <f>initMaint*(1+monthlyRentInf)^(A163-1)</f>
        <v/>
      </c>
      <c r="E163" s="25">
        <f>C163*(1-vacancyPct)-D163</f>
        <v/>
      </c>
      <c r="F163" s="25">
        <f>I162</f>
        <v/>
      </c>
      <c r="G163" s="25">
        <f>IF(AND(F163&gt;0, A163&lt;=loanMonths), F163*rMonthly, 0)</f>
        <v/>
      </c>
      <c r="H163" s="25">
        <f>IF(AND(F163&gt;0, A163&lt;=loanMonths), EMI, 0)</f>
        <v/>
      </c>
      <c r="I163" s="25">
        <f>IF(AND(F163&gt;0, A163&lt;=loanMonths), MAX(0, F163-MIN(EMI-G163, F163)), F163)</f>
        <v/>
      </c>
      <c r="J163" s="25">
        <f>K162</f>
        <v/>
      </c>
      <c r="K163" s="25">
        <f>J163*(1+mfMo)+H163-E163</f>
        <v/>
      </c>
      <c r="L163" s="25">
        <f>L162+E163</f>
        <v/>
      </c>
      <c r="M163" s="25">
        <f>M162+H163+MAX(0,-E163)</f>
        <v/>
      </c>
      <c r="N163" s="25">
        <f>N162+MAX(0,E163)</f>
        <v/>
      </c>
    </row>
    <row r="164">
      <c r="A164" s="22" t="n">
        <v>163</v>
      </c>
      <c r="B164" s="23">
        <f>propPrice*(1+monthlyAppn)^A164</f>
        <v/>
      </c>
      <c r="C164" s="23">
        <f>IF(A164&gt;=startRentalMonth, initRent*(1+monthlyRentInf)^(A164-1), 0)</f>
        <v/>
      </c>
      <c r="D164" s="23">
        <f>initMaint*(1+monthlyRentInf)^(A164-1)</f>
        <v/>
      </c>
      <c r="E164" s="23">
        <f>C164*(1-vacancyPct)-D164</f>
        <v/>
      </c>
      <c r="F164" s="23">
        <f>I163</f>
        <v/>
      </c>
      <c r="G164" s="23">
        <f>IF(AND(F164&gt;0, A164&lt;=loanMonths), F164*rMonthly, 0)</f>
        <v/>
      </c>
      <c r="H164" s="23">
        <f>IF(AND(F164&gt;0, A164&lt;=loanMonths), EMI, 0)</f>
        <v/>
      </c>
      <c r="I164" s="23">
        <f>IF(AND(F164&gt;0, A164&lt;=loanMonths), MAX(0, F164-MIN(EMI-G164, F164)), F164)</f>
        <v/>
      </c>
      <c r="J164" s="23">
        <f>K163</f>
        <v/>
      </c>
      <c r="K164" s="23">
        <f>J164*(1+mfMo)+H164-E164</f>
        <v/>
      </c>
      <c r="L164" s="23">
        <f>L163+E164</f>
        <v/>
      </c>
      <c r="M164" s="23">
        <f>M163+H164+MAX(0,-E164)</f>
        <v/>
      </c>
      <c r="N164" s="23">
        <f>N163+MAX(0,E164)</f>
        <v/>
      </c>
    </row>
    <row r="165">
      <c r="A165" s="24" t="n">
        <v>164</v>
      </c>
      <c r="B165" s="25">
        <f>propPrice*(1+monthlyAppn)^A165</f>
        <v/>
      </c>
      <c r="C165" s="25">
        <f>IF(A165&gt;=startRentalMonth, initRent*(1+monthlyRentInf)^(A165-1), 0)</f>
        <v/>
      </c>
      <c r="D165" s="25">
        <f>initMaint*(1+monthlyRentInf)^(A165-1)</f>
        <v/>
      </c>
      <c r="E165" s="25">
        <f>C165*(1-vacancyPct)-D165</f>
        <v/>
      </c>
      <c r="F165" s="25">
        <f>I164</f>
        <v/>
      </c>
      <c r="G165" s="25">
        <f>IF(AND(F165&gt;0, A165&lt;=loanMonths), F165*rMonthly, 0)</f>
        <v/>
      </c>
      <c r="H165" s="25">
        <f>IF(AND(F165&gt;0, A165&lt;=loanMonths), EMI, 0)</f>
        <v/>
      </c>
      <c r="I165" s="25">
        <f>IF(AND(F165&gt;0, A165&lt;=loanMonths), MAX(0, F165-MIN(EMI-G165, F165)), F165)</f>
        <v/>
      </c>
      <c r="J165" s="25">
        <f>K164</f>
        <v/>
      </c>
      <c r="K165" s="25">
        <f>J165*(1+mfMo)+H165-E165</f>
        <v/>
      </c>
      <c r="L165" s="25">
        <f>L164+E165</f>
        <v/>
      </c>
      <c r="M165" s="25">
        <f>M164+H165+MAX(0,-E165)</f>
        <v/>
      </c>
      <c r="N165" s="25">
        <f>N164+MAX(0,E165)</f>
        <v/>
      </c>
    </row>
    <row r="166">
      <c r="A166" s="22" t="n">
        <v>165</v>
      </c>
      <c r="B166" s="23">
        <f>propPrice*(1+monthlyAppn)^A166</f>
        <v/>
      </c>
      <c r="C166" s="23">
        <f>IF(A166&gt;=startRentalMonth, initRent*(1+monthlyRentInf)^(A166-1), 0)</f>
        <v/>
      </c>
      <c r="D166" s="23">
        <f>initMaint*(1+monthlyRentInf)^(A166-1)</f>
        <v/>
      </c>
      <c r="E166" s="23">
        <f>C166*(1-vacancyPct)-D166</f>
        <v/>
      </c>
      <c r="F166" s="23">
        <f>I165</f>
        <v/>
      </c>
      <c r="G166" s="23">
        <f>IF(AND(F166&gt;0, A166&lt;=loanMonths), F166*rMonthly, 0)</f>
        <v/>
      </c>
      <c r="H166" s="23">
        <f>IF(AND(F166&gt;0, A166&lt;=loanMonths), EMI, 0)</f>
        <v/>
      </c>
      <c r="I166" s="23">
        <f>IF(AND(F166&gt;0, A166&lt;=loanMonths), MAX(0, F166-MIN(EMI-G166, F166)), F166)</f>
        <v/>
      </c>
      <c r="J166" s="23">
        <f>K165</f>
        <v/>
      </c>
      <c r="K166" s="23">
        <f>J166*(1+mfMo)+H166-E166</f>
        <v/>
      </c>
      <c r="L166" s="23">
        <f>L165+E166</f>
        <v/>
      </c>
      <c r="M166" s="23">
        <f>M165+H166+MAX(0,-E166)</f>
        <v/>
      </c>
      <c r="N166" s="23">
        <f>N165+MAX(0,E166)</f>
        <v/>
      </c>
    </row>
    <row r="167">
      <c r="A167" s="24" t="n">
        <v>166</v>
      </c>
      <c r="B167" s="25">
        <f>propPrice*(1+monthlyAppn)^A167</f>
        <v/>
      </c>
      <c r="C167" s="25">
        <f>IF(A167&gt;=startRentalMonth, initRent*(1+monthlyRentInf)^(A167-1), 0)</f>
        <v/>
      </c>
      <c r="D167" s="25">
        <f>initMaint*(1+monthlyRentInf)^(A167-1)</f>
        <v/>
      </c>
      <c r="E167" s="25">
        <f>C167*(1-vacancyPct)-D167</f>
        <v/>
      </c>
      <c r="F167" s="25">
        <f>I166</f>
        <v/>
      </c>
      <c r="G167" s="25">
        <f>IF(AND(F167&gt;0, A167&lt;=loanMonths), F167*rMonthly, 0)</f>
        <v/>
      </c>
      <c r="H167" s="25">
        <f>IF(AND(F167&gt;0, A167&lt;=loanMonths), EMI, 0)</f>
        <v/>
      </c>
      <c r="I167" s="25">
        <f>IF(AND(F167&gt;0, A167&lt;=loanMonths), MAX(0, F167-MIN(EMI-G167, F167)), F167)</f>
        <v/>
      </c>
      <c r="J167" s="25">
        <f>K166</f>
        <v/>
      </c>
      <c r="K167" s="25">
        <f>J167*(1+mfMo)+H167-E167</f>
        <v/>
      </c>
      <c r="L167" s="25">
        <f>L166+E167</f>
        <v/>
      </c>
      <c r="M167" s="25">
        <f>M166+H167+MAX(0,-E167)</f>
        <v/>
      </c>
      <c r="N167" s="25">
        <f>N166+MAX(0,E167)</f>
        <v/>
      </c>
    </row>
    <row r="168">
      <c r="A168" s="22" t="n">
        <v>167</v>
      </c>
      <c r="B168" s="23">
        <f>propPrice*(1+monthlyAppn)^A168</f>
        <v/>
      </c>
      <c r="C168" s="23">
        <f>IF(A168&gt;=startRentalMonth, initRent*(1+monthlyRentInf)^(A168-1), 0)</f>
        <v/>
      </c>
      <c r="D168" s="23">
        <f>initMaint*(1+monthlyRentInf)^(A168-1)</f>
        <v/>
      </c>
      <c r="E168" s="23">
        <f>C168*(1-vacancyPct)-D168</f>
        <v/>
      </c>
      <c r="F168" s="23">
        <f>I167</f>
        <v/>
      </c>
      <c r="G168" s="23">
        <f>IF(AND(F168&gt;0, A168&lt;=loanMonths), F168*rMonthly, 0)</f>
        <v/>
      </c>
      <c r="H168" s="23">
        <f>IF(AND(F168&gt;0, A168&lt;=loanMonths), EMI, 0)</f>
        <v/>
      </c>
      <c r="I168" s="23">
        <f>IF(AND(F168&gt;0, A168&lt;=loanMonths), MAX(0, F168-MIN(EMI-G168, F168)), F168)</f>
        <v/>
      </c>
      <c r="J168" s="23">
        <f>K167</f>
        <v/>
      </c>
      <c r="K168" s="23">
        <f>J168*(1+mfMo)+H168-E168</f>
        <v/>
      </c>
      <c r="L168" s="23">
        <f>L167+E168</f>
        <v/>
      </c>
      <c r="M168" s="23">
        <f>M167+H168+MAX(0,-E168)</f>
        <v/>
      </c>
      <c r="N168" s="23">
        <f>N167+MAX(0,E168)</f>
        <v/>
      </c>
    </row>
    <row r="169">
      <c r="A169" s="24" t="n">
        <v>168</v>
      </c>
      <c r="B169" s="25">
        <f>propPrice*(1+monthlyAppn)^A169</f>
        <v/>
      </c>
      <c r="C169" s="25">
        <f>IF(A169&gt;=startRentalMonth, initRent*(1+monthlyRentInf)^(A169-1), 0)</f>
        <v/>
      </c>
      <c r="D169" s="25">
        <f>initMaint*(1+monthlyRentInf)^(A169-1)</f>
        <v/>
      </c>
      <c r="E169" s="25">
        <f>C169*(1-vacancyPct)-D169</f>
        <v/>
      </c>
      <c r="F169" s="25">
        <f>I168</f>
        <v/>
      </c>
      <c r="G169" s="25">
        <f>IF(AND(F169&gt;0, A169&lt;=loanMonths), F169*rMonthly, 0)</f>
        <v/>
      </c>
      <c r="H169" s="25">
        <f>IF(AND(F169&gt;0, A169&lt;=loanMonths), EMI, 0)</f>
        <v/>
      </c>
      <c r="I169" s="25">
        <f>IF(AND(F169&gt;0, A169&lt;=loanMonths), MAX(0, F169-MIN(EMI-G169, F169)), F169)</f>
        <v/>
      </c>
      <c r="J169" s="25">
        <f>K168</f>
        <v/>
      </c>
      <c r="K169" s="25">
        <f>J169*(1+mfMo)+H169-E169</f>
        <v/>
      </c>
      <c r="L169" s="25">
        <f>L168+E169</f>
        <v/>
      </c>
      <c r="M169" s="25">
        <f>M168+H169+MAX(0,-E169)</f>
        <v/>
      </c>
      <c r="N169" s="25">
        <f>N168+MAX(0,E169)</f>
        <v/>
      </c>
    </row>
    <row r="170">
      <c r="A170" s="22" t="n">
        <v>169</v>
      </c>
      <c r="B170" s="23">
        <f>propPrice*(1+monthlyAppn)^A170</f>
        <v/>
      </c>
      <c r="C170" s="23">
        <f>IF(A170&gt;=startRentalMonth, initRent*(1+monthlyRentInf)^(A170-1), 0)</f>
        <v/>
      </c>
      <c r="D170" s="23">
        <f>initMaint*(1+monthlyRentInf)^(A170-1)</f>
        <v/>
      </c>
      <c r="E170" s="23">
        <f>C170*(1-vacancyPct)-D170</f>
        <v/>
      </c>
      <c r="F170" s="23">
        <f>I169</f>
        <v/>
      </c>
      <c r="G170" s="23">
        <f>IF(AND(F170&gt;0, A170&lt;=loanMonths), F170*rMonthly, 0)</f>
        <v/>
      </c>
      <c r="H170" s="23">
        <f>IF(AND(F170&gt;0, A170&lt;=loanMonths), EMI, 0)</f>
        <v/>
      </c>
      <c r="I170" s="23">
        <f>IF(AND(F170&gt;0, A170&lt;=loanMonths), MAX(0, F170-MIN(EMI-G170, F170)), F170)</f>
        <v/>
      </c>
      <c r="J170" s="23">
        <f>K169</f>
        <v/>
      </c>
      <c r="K170" s="23">
        <f>J170*(1+mfMo)+H170-E170</f>
        <v/>
      </c>
      <c r="L170" s="23">
        <f>L169+E170</f>
        <v/>
      </c>
      <c r="M170" s="23">
        <f>M169+H170+MAX(0,-E170)</f>
        <v/>
      </c>
      <c r="N170" s="23">
        <f>N169+MAX(0,E170)</f>
        <v/>
      </c>
    </row>
    <row r="171">
      <c r="A171" s="24" t="n">
        <v>170</v>
      </c>
      <c r="B171" s="25">
        <f>propPrice*(1+monthlyAppn)^A171</f>
        <v/>
      </c>
      <c r="C171" s="25">
        <f>IF(A171&gt;=startRentalMonth, initRent*(1+monthlyRentInf)^(A171-1), 0)</f>
        <v/>
      </c>
      <c r="D171" s="25">
        <f>initMaint*(1+monthlyRentInf)^(A171-1)</f>
        <v/>
      </c>
      <c r="E171" s="25">
        <f>C171*(1-vacancyPct)-D171</f>
        <v/>
      </c>
      <c r="F171" s="25">
        <f>I170</f>
        <v/>
      </c>
      <c r="G171" s="25">
        <f>IF(AND(F171&gt;0, A171&lt;=loanMonths), F171*rMonthly, 0)</f>
        <v/>
      </c>
      <c r="H171" s="25">
        <f>IF(AND(F171&gt;0, A171&lt;=loanMonths), EMI, 0)</f>
        <v/>
      </c>
      <c r="I171" s="25">
        <f>IF(AND(F171&gt;0, A171&lt;=loanMonths), MAX(0, F171-MIN(EMI-G171, F171)), F171)</f>
        <v/>
      </c>
      <c r="J171" s="25">
        <f>K170</f>
        <v/>
      </c>
      <c r="K171" s="25">
        <f>J171*(1+mfMo)+H171-E171</f>
        <v/>
      </c>
      <c r="L171" s="25">
        <f>L170+E171</f>
        <v/>
      </c>
      <c r="M171" s="25">
        <f>M170+H171+MAX(0,-E171)</f>
        <v/>
      </c>
      <c r="N171" s="25">
        <f>N170+MAX(0,E171)</f>
        <v/>
      </c>
    </row>
    <row r="172">
      <c r="A172" s="22" t="n">
        <v>171</v>
      </c>
      <c r="B172" s="23">
        <f>propPrice*(1+monthlyAppn)^A172</f>
        <v/>
      </c>
      <c r="C172" s="23">
        <f>IF(A172&gt;=startRentalMonth, initRent*(1+monthlyRentInf)^(A172-1), 0)</f>
        <v/>
      </c>
      <c r="D172" s="23">
        <f>initMaint*(1+monthlyRentInf)^(A172-1)</f>
        <v/>
      </c>
      <c r="E172" s="23">
        <f>C172*(1-vacancyPct)-D172</f>
        <v/>
      </c>
      <c r="F172" s="23">
        <f>I171</f>
        <v/>
      </c>
      <c r="G172" s="23">
        <f>IF(AND(F172&gt;0, A172&lt;=loanMonths), F172*rMonthly, 0)</f>
        <v/>
      </c>
      <c r="H172" s="23">
        <f>IF(AND(F172&gt;0, A172&lt;=loanMonths), EMI, 0)</f>
        <v/>
      </c>
      <c r="I172" s="23">
        <f>IF(AND(F172&gt;0, A172&lt;=loanMonths), MAX(0, F172-MIN(EMI-G172, F172)), F172)</f>
        <v/>
      </c>
      <c r="J172" s="23">
        <f>K171</f>
        <v/>
      </c>
      <c r="K172" s="23">
        <f>J172*(1+mfMo)+H172-E172</f>
        <v/>
      </c>
      <c r="L172" s="23">
        <f>L171+E172</f>
        <v/>
      </c>
      <c r="M172" s="23">
        <f>M171+H172+MAX(0,-E172)</f>
        <v/>
      </c>
      <c r="N172" s="23">
        <f>N171+MAX(0,E172)</f>
        <v/>
      </c>
    </row>
    <row r="173">
      <c r="A173" s="24" t="n">
        <v>172</v>
      </c>
      <c r="B173" s="25">
        <f>propPrice*(1+monthlyAppn)^A173</f>
        <v/>
      </c>
      <c r="C173" s="25">
        <f>IF(A173&gt;=startRentalMonth, initRent*(1+monthlyRentInf)^(A173-1), 0)</f>
        <v/>
      </c>
      <c r="D173" s="25">
        <f>initMaint*(1+monthlyRentInf)^(A173-1)</f>
        <v/>
      </c>
      <c r="E173" s="25">
        <f>C173*(1-vacancyPct)-D173</f>
        <v/>
      </c>
      <c r="F173" s="25">
        <f>I172</f>
        <v/>
      </c>
      <c r="G173" s="25">
        <f>IF(AND(F173&gt;0, A173&lt;=loanMonths), F173*rMonthly, 0)</f>
        <v/>
      </c>
      <c r="H173" s="25">
        <f>IF(AND(F173&gt;0, A173&lt;=loanMonths), EMI, 0)</f>
        <v/>
      </c>
      <c r="I173" s="25">
        <f>IF(AND(F173&gt;0, A173&lt;=loanMonths), MAX(0, F173-MIN(EMI-G173, F173)), F173)</f>
        <v/>
      </c>
      <c r="J173" s="25">
        <f>K172</f>
        <v/>
      </c>
      <c r="K173" s="25">
        <f>J173*(1+mfMo)+H173-E173</f>
        <v/>
      </c>
      <c r="L173" s="25">
        <f>L172+E173</f>
        <v/>
      </c>
      <c r="M173" s="25">
        <f>M172+H173+MAX(0,-E173)</f>
        <v/>
      </c>
      <c r="N173" s="25">
        <f>N172+MAX(0,E173)</f>
        <v/>
      </c>
    </row>
    <row r="174">
      <c r="A174" s="22" t="n">
        <v>173</v>
      </c>
      <c r="B174" s="23">
        <f>propPrice*(1+monthlyAppn)^A174</f>
        <v/>
      </c>
      <c r="C174" s="23">
        <f>IF(A174&gt;=startRentalMonth, initRent*(1+monthlyRentInf)^(A174-1), 0)</f>
        <v/>
      </c>
      <c r="D174" s="23">
        <f>initMaint*(1+monthlyRentInf)^(A174-1)</f>
        <v/>
      </c>
      <c r="E174" s="23">
        <f>C174*(1-vacancyPct)-D174</f>
        <v/>
      </c>
      <c r="F174" s="23">
        <f>I173</f>
        <v/>
      </c>
      <c r="G174" s="23">
        <f>IF(AND(F174&gt;0, A174&lt;=loanMonths), F174*rMonthly, 0)</f>
        <v/>
      </c>
      <c r="H174" s="23">
        <f>IF(AND(F174&gt;0, A174&lt;=loanMonths), EMI, 0)</f>
        <v/>
      </c>
      <c r="I174" s="23">
        <f>IF(AND(F174&gt;0, A174&lt;=loanMonths), MAX(0, F174-MIN(EMI-G174, F174)), F174)</f>
        <v/>
      </c>
      <c r="J174" s="23">
        <f>K173</f>
        <v/>
      </c>
      <c r="K174" s="23">
        <f>J174*(1+mfMo)+H174-E174</f>
        <v/>
      </c>
      <c r="L174" s="23">
        <f>L173+E174</f>
        <v/>
      </c>
      <c r="M174" s="23">
        <f>M173+H174+MAX(0,-E174)</f>
        <v/>
      </c>
      <c r="N174" s="23">
        <f>N173+MAX(0,E174)</f>
        <v/>
      </c>
    </row>
    <row r="175">
      <c r="A175" s="24" t="n">
        <v>174</v>
      </c>
      <c r="B175" s="25">
        <f>propPrice*(1+monthlyAppn)^A175</f>
        <v/>
      </c>
      <c r="C175" s="25">
        <f>IF(A175&gt;=startRentalMonth, initRent*(1+monthlyRentInf)^(A175-1), 0)</f>
        <v/>
      </c>
      <c r="D175" s="25">
        <f>initMaint*(1+monthlyRentInf)^(A175-1)</f>
        <v/>
      </c>
      <c r="E175" s="25">
        <f>C175*(1-vacancyPct)-D175</f>
        <v/>
      </c>
      <c r="F175" s="25">
        <f>I174</f>
        <v/>
      </c>
      <c r="G175" s="25">
        <f>IF(AND(F175&gt;0, A175&lt;=loanMonths), F175*rMonthly, 0)</f>
        <v/>
      </c>
      <c r="H175" s="25">
        <f>IF(AND(F175&gt;0, A175&lt;=loanMonths), EMI, 0)</f>
        <v/>
      </c>
      <c r="I175" s="25">
        <f>IF(AND(F175&gt;0, A175&lt;=loanMonths), MAX(0, F175-MIN(EMI-G175, F175)), F175)</f>
        <v/>
      </c>
      <c r="J175" s="25">
        <f>K174</f>
        <v/>
      </c>
      <c r="K175" s="25">
        <f>J175*(1+mfMo)+H175-E175</f>
        <v/>
      </c>
      <c r="L175" s="25">
        <f>L174+E175</f>
        <v/>
      </c>
      <c r="M175" s="25">
        <f>M174+H175+MAX(0,-E175)</f>
        <v/>
      </c>
      <c r="N175" s="25">
        <f>N174+MAX(0,E175)</f>
        <v/>
      </c>
    </row>
    <row r="176">
      <c r="A176" s="22" t="n">
        <v>175</v>
      </c>
      <c r="B176" s="23">
        <f>propPrice*(1+monthlyAppn)^A176</f>
        <v/>
      </c>
      <c r="C176" s="23">
        <f>IF(A176&gt;=startRentalMonth, initRent*(1+monthlyRentInf)^(A176-1), 0)</f>
        <v/>
      </c>
      <c r="D176" s="23">
        <f>initMaint*(1+monthlyRentInf)^(A176-1)</f>
        <v/>
      </c>
      <c r="E176" s="23">
        <f>C176*(1-vacancyPct)-D176</f>
        <v/>
      </c>
      <c r="F176" s="23">
        <f>I175</f>
        <v/>
      </c>
      <c r="G176" s="23">
        <f>IF(AND(F176&gt;0, A176&lt;=loanMonths), F176*rMonthly, 0)</f>
        <v/>
      </c>
      <c r="H176" s="23">
        <f>IF(AND(F176&gt;0, A176&lt;=loanMonths), EMI, 0)</f>
        <v/>
      </c>
      <c r="I176" s="23">
        <f>IF(AND(F176&gt;0, A176&lt;=loanMonths), MAX(0, F176-MIN(EMI-G176, F176)), F176)</f>
        <v/>
      </c>
      <c r="J176" s="23">
        <f>K175</f>
        <v/>
      </c>
      <c r="K176" s="23">
        <f>J176*(1+mfMo)+H176-E176</f>
        <v/>
      </c>
      <c r="L176" s="23">
        <f>L175+E176</f>
        <v/>
      </c>
      <c r="M176" s="23">
        <f>M175+H176+MAX(0,-E176)</f>
        <v/>
      </c>
      <c r="N176" s="23">
        <f>N175+MAX(0,E176)</f>
        <v/>
      </c>
    </row>
    <row r="177">
      <c r="A177" s="24" t="n">
        <v>176</v>
      </c>
      <c r="B177" s="25">
        <f>propPrice*(1+monthlyAppn)^A177</f>
        <v/>
      </c>
      <c r="C177" s="25">
        <f>IF(A177&gt;=startRentalMonth, initRent*(1+monthlyRentInf)^(A177-1), 0)</f>
        <v/>
      </c>
      <c r="D177" s="25">
        <f>initMaint*(1+monthlyRentInf)^(A177-1)</f>
        <v/>
      </c>
      <c r="E177" s="25">
        <f>C177*(1-vacancyPct)-D177</f>
        <v/>
      </c>
      <c r="F177" s="25">
        <f>I176</f>
        <v/>
      </c>
      <c r="G177" s="25">
        <f>IF(AND(F177&gt;0, A177&lt;=loanMonths), F177*rMonthly, 0)</f>
        <v/>
      </c>
      <c r="H177" s="25">
        <f>IF(AND(F177&gt;0, A177&lt;=loanMonths), EMI, 0)</f>
        <v/>
      </c>
      <c r="I177" s="25">
        <f>IF(AND(F177&gt;0, A177&lt;=loanMonths), MAX(0, F177-MIN(EMI-G177, F177)), F177)</f>
        <v/>
      </c>
      <c r="J177" s="25">
        <f>K176</f>
        <v/>
      </c>
      <c r="K177" s="25">
        <f>J177*(1+mfMo)+H177-E177</f>
        <v/>
      </c>
      <c r="L177" s="25">
        <f>L176+E177</f>
        <v/>
      </c>
      <c r="M177" s="25">
        <f>M176+H177+MAX(0,-E177)</f>
        <v/>
      </c>
      <c r="N177" s="25">
        <f>N176+MAX(0,E177)</f>
        <v/>
      </c>
    </row>
    <row r="178">
      <c r="A178" s="22" t="n">
        <v>177</v>
      </c>
      <c r="B178" s="23">
        <f>propPrice*(1+monthlyAppn)^A178</f>
        <v/>
      </c>
      <c r="C178" s="23">
        <f>IF(A178&gt;=startRentalMonth, initRent*(1+monthlyRentInf)^(A178-1), 0)</f>
        <v/>
      </c>
      <c r="D178" s="23">
        <f>initMaint*(1+monthlyRentInf)^(A178-1)</f>
        <v/>
      </c>
      <c r="E178" s="23">
        <f>C178*(1-vacancyPct)-D178</f>
        <v/>
      </c>
      <c r="F178" s="23">
        <f>I177</f>
        <v/>
      </c>
      <c r="G178" s="23">
        <f>IF(AND(F178&gt;0, A178&lt;=loanMonths), F178*rMonthly, 0)</f>
        <v/>
      </c>
      <c r="H178" s="23">
        <f>IF(AND(F178&gt;0, A178&lt;=loanMonths), EMI, 0)</f>
        <v/>
      </c>
      <c r="I178" s="23">
        <f>IF(AND(F178&gt;0, A178&lt;=loanMonths), MAX(0, F178-MIN(EMI-G178, F178)), F178)</f>
        <v/>
      </c>
      <c r="J178" s="23">
        <f>K177</f>
        <v/>
      </c>
      <c r="K178" s="23">
        <f>J178*(1+mfMo)+H178-E178</f>
        <v/>
      </c>
      <c r="L178" s="23">
        <f>L177+E178</f>
        <v/>
      </c>
      <c r="M178" s="23">
        <f>M177+H178+MAX(0,-E178)</f>
        <v/>
      </c>
      <c r="N178" s="23">
        <f>N177+MAX(0,E178)</f>
        <v/>
      </c>
    </row>
    <row r="179">
      <c r="A179" s="24" t="n">
        <v>178</v>
      </c>
      <c r="B179" s="25">
        <f>propPrice*(1+monthlyAppn)^A179</f>
        <v/>
      </c>
      <c r="C179" s="25">
        <f>IF(A179&gt;=startRentalMonth, initRent*(1+monthlyRentInf)^(A179-1), 0)</f>
        <v/>
      </c>
      <c r="D179" s="25">
        <f>initMaint*(1+monthlyRentInf)^(A179-1)</f>
        <v/>
      </c>
      <c r="E179" s="25">
        <f>C179*(1-vacancyPct)-D179</f>
        <v/>
      </c>
      <c r="F179" s="25">
        <f>I178</f>
        <v/>
      </c>
      <c r="G179" s="25">
        <f>IF(AND(F179&gt;0, A179&lt;=loanMonths), F179*rMonthly, 0)</f>
        <v/>
      </c>
      <c r="H179" s="25">
        <f>IF(AND(F179&gt;0, A179&lt;=loanMonths), EMI, 0)</f>
        <v/>
      </c>
      <c r="I179" s="25">
        <f>IF(AND(F179&gt;0, A179&lt;=loanMonths), MAX(0, F179-MIN(EMI-G179, F179)), F179)</f>
        <v/>
      </c>
      <c r="J179" s="25">
        <f>K178</f>
        <v/>
      </c>
      <c r="K179" s="25">
        <f>J179*(1+mfMo)+H179-E179</f>
        <v/>
      </c>
      <c r="L179" s="25">
        <f>L178+E179</f>
        <v/>
      </c>
      <c r="M179" s="25">
        <f>M178+H179+MAX(0,-E179)</f>
        <v/>
      </c>
      <c r="N179" s="25">
        <f>N178+MAX(0,E179)</f>
        <v/>
      </c>
    </row>
    <row r="180">
      <c r="A180" s="22" t="n">
        <v>179</v>
      </c>
      <c r="B180" s="23">
        <f>propPrice*(1+monthlyAppn)^A180</f>
        <v/>
      </c>
      <c r="C180" s="23">
        <f>IF(A180&gt;=startRentalMonth, initRent*(1+monthlyRentInf)^(A180-1), 0)</f>
        <v/>
      </c>
      <c r="D180" s="23">
        <f>initMaint*(1+monthlyRentInf)^(A180-1)</f>
        <v/>
      </c>
      <c r="E180" s="23">
        <f>C180*(1-vacancyPct)-D180</f>
        <v/>
      </c>
      <c r="F180" s="23">
        <f>I179</f>
        <v/>
      </c>
      <c r="G180" s="23">
        <f>IF(AND(F180&gt;0, A180&lt;=loanMonths), F180*rMonthly, 0)</f>
        <v/>
      </c>
      <c r="H180" s="23">
        <f>IF(AND(F180&gt;0, A180&lt;=loanMonths), EMI, 0)</f>
        <v/>
      </c>
      <c r="I180" s="23">
        <f>IF(AND(F180&gt;0, A180&lt;=loanMonths), MAX(0, F180-MIN(EMI-G180, F180)), F180)</f>
        <v/>
      </c>
      <c r="J180" s="23">
        <f>K179</f>
        <v/>
      </c>
      <c r="K180" s="23">
        <f>J180*(1+mfMo)+H180-E180</f>
        <v/>
      </c>
      <c r="L180" s="23">
        <f>L179+E180</f>
        <v/>
      </c>
      <c r="M180" s="23">
        <f>M179+H180+MAX(0,-E180)</f>
        <v/>
      </c>
      <c r="N180" s="23">
        <f>N179+MAX(0,E180)</f>
        <v/>
      </c>
    </row>
    <row r="181">
      <c r="A181" s="24" t="n">
        <v>180</v>
      </c>
      <c r="B181" s="25">
        <f>propPrice*(1+monthlyAppn)^A181</f>
        <v/>
      </c>
      <c r="C181" s="25">
        <f>IF(A181&gt;=startRentalMonth, initRent*(1+monthlyRentInf)^(A181-1), 0)</f>
        <v/>
      </c>
      <c r="D181" s="25">
        <f>initMaint*(1+monthlyRentInf)^(A181-1)</f>
        <v/>
      </c>
      <c r="E181" s="25">
        <f>C181*(1-vacancyPct)-D181</f>
        <v/>
      </c>
      <c r="F181" s="25">
        <f>I180</f>
        <v/>
      </c>
      <c r="G181" s="25">
        <f>IF(AND(F181&gt;0, A181&lt;=loanMonths), F181*rMonthly, 0)</f>
        <v/>
      </c>
      <c r="H181" s="25">
        <f>IF(AND(F181&gt;0, A181&lt;=loanMonths), EMI, 0)</f>
        <v/>
      </c>
      <c r="I181" s="25">
        <f>IF(AND(F181&gt;0, A181&lt;=loanMonths), MAX(0, F181-MIN(EMI-G181, F181)), F181)</f>
        <v/>
      </c>
      <c r="J181" s="25">
        <f>K180</f>
        <v/>
      </c>
      <c r="K181" s="25">
        <f>J181*(1+mfMo)+H181-E181</f>
        <v/>
      </c>
      <c r="L181" s="25">
        <f>L180+E181</f>
        <v/>
      </c>
      <c r="M181" s="25">
        <f>M180+H181+MAX(0,-E181)</f>
        <v/>
      </c>
      <c r="N181" s="25">
        <f>N180+MAX(0,E181)</f>
        <v/>
      </c>
    </row>
    <row r="182">
      <c r="A182" s="22" t="n">
        <v>181</v>
      </c>
      <c r="B182" s="23">
        <f>propPrice*(1+monthlyAppn)^A182</f>
        <v/>
      </c>
      <c r="C182" s="23">
        <f>IF(A182&gt;=startRentalMonth, initRent*(1+monthlyRentInf)^(A182-1), 0)</f>
        <v/>
      </c>
      <c r="D182" s="23">
        <f>initMaint*(1+monthlyRentInf)^(A182-1)</f>
        <v/>
      </c>
      <c r="E182" s="23">
        <f>C182*(1-vacancyPct)-D182</f>
        <v/>
      </c>
      <c r="F182" s="23">
        <f>I181</f>
        <v/>
      </c>
      <c r="G182" s="23">
        <f>IF(AND(F182&gt;0, A182&lt;=loanMonths), F182*rMonthly, 0)</f>
        <v/>
      </c>
      <c r="H182" s="23">
        <f>IF(AND(F182&gt;0, A182&lt;=loanMonths), EMI, 0)</f>
        <v/>
      </c>
      <c r="I182" s="23">
        <f>IF(AND(F182&gt;0, A182&lt;=loanMonths), MAX(0, F182-MIN(EMI-G182, F182)), F182)</f>
        <v/>
      </c>
      <c r="J182" s="23">
        <f>K181</f>
        <v/>
      </c>
      <c r="K182" s="23">
        <f>J182*(1+mfMo)+H182-E182</f>
        <v/>
      </c>
      <c r="L182" s="23">
        <f>L181+E182</f>
        <v/>
      </c>
      <c r="M182" s="23">
        <f>M181+H182+MAX(0,-E182)</f>
        <v/>
      </c>
      <c r="N182" s="23">
        <f>N181+MAX(0,E182)</f>
        <v/>
      </c>
    </row>
    <row r="183">
      <c r="A183" s="24" t="n">
        <v>182</v>
      </c>
      <c r="B183" s="25">
        <f>propPrice*(1+monthlyAppn)^A183</f>
        <v/>
      </c>
      <c r="C183" s="25">
        <f>IF(A183&gt;=startRentalMonth, initRent*(1+monthlyRentInf)^(A183-1), 0)</f>
        <v/>
      </c>
      <c r="D183" s="25">
        <f>initMaint*(1+monthlyRentInf)^(A183-1)</f>
        <v/>
      </c>
      <c r="E183" s="25">
        <f>C183*(1-vacancyPct)-D183</f>
        <v/>
      </c>
      <c r="F183" s="25">
        <f>I182</f>
        <v/>
      </c>
      <c r="G183" s="25">
        <f>IF(AND(F183&gt;0, A183&lt;=loanMonths), F183*rMonthly, 0)</f>
        <v/>
      </c>
      <c r="H183" s="25">
        <f>IF(AND(F183&gt;0, A183&lt;=loanMonths), EMI, 0)</f>
        <v/>
      </c>
      <c r="I183" s="25">
        <f>IF(AND(F183&gt;0, A183&lt;=loanMonths), MAX(0, F183-MIN(EMI-G183, F183)), F183)</f>
        <v/>
      </c>
      <c r="J183" s="25">
        <f>K182</f>
        <v/>
      </c>
      <c r="K183" s="25">
        <f>J183*(1+mfMo)+H183-E183</f>
        <v/>
      </c>
      <c r="L183" s="25">
        <f>L182+E183</f>
        <v/>
      </c>
      <c r="M183" s="25">
        <f>M182+H183+MAX(0,-E183)</f>
        <v/>
      </c>
      <c r="N183" s="25">
        <f>N182+MAX(0,E183)</f>
        <v/>
      </c>
    </row>
    <row r="184">
      <c r="A184" s="22" t="n">
        <v>183</v>
      </c>
      <c r="B184" s="23">
        <f>propPrice*(1+monthlyAppn)^A184</f>
        <v/>
      </c>
      <c r="C184" s="23">
        <f>IF(A184&gt;=startRentalMonth, initRent*(1+monthlyRentInf)^(A184-1), 0)</f>
        <v/>
      </c>
      <c r="D184" s="23">
        <f>initMaint*(1+monthlyRentInf)^(A184-1)</f>
        <v/>
      </c>
      <c r="E184" s="23">
        <f>C184*(1-vacancyPct)-D184</f>
        <v/>
      </c>
      <c r="F184" s="23">
        <f>I183</f>
        <v/>
      </c>
      <c r="G184" s="23">
        <f>IF(AND(F184&gt;0, A184&lt;=loanMonths), F184*rMonthly, 0)</f>
        <v/>
      </c>
      <c r="H184" s="23">
        <f>IF(AND(F184&gt;0, A184&lt;=loanMonths), EMI, 0)</f>
        <v/>
      </c>
      <c r="I184" s="23">
        <f>IF(AND(F184&gt;0, A184&lt;=loanMonths), MAX(0, F184-MIN(EMI-G184, F184)), F184)</f>
        <v/>
      </c>
      <c r="J184" s="23">
        <f>K183</f>
        <v/>
      </c>
      <c r="K184" s="23">
        <f>J184*(1+mfMo)+H184-E184</f>
        <v/>
      </c>
      <c r="L184" s="23">
        <f>L183+E184</f>
        <v/>
      </c>
      <c r="M184" s="23">
        <f>M183+H184+MAX(0,-E184)</f>
        <v/>
      </c>
      <c r="N184" s="23">
        <f>N183+MAX(0,E184)</f>
        <v/>
      </c>
    </row>
    <row r="185">
      <c r="A185" s="24" t="n">
        <v>184</v>
      </c>
      <c r="B185" s="25">
        <f>propPrice*(1+monthlyAppn)^A185</f>
        <v/>
      </c>
      <c r="C185" s="25">
        <f>IF(A185&gt;=startRentalMonth, initRent*(1+monthlyRentInf)^(A185-1), 0)</f>
        <v/>
      </c>
      <c r="D185" s="25">
        <f>initMaint*(1+monthlyRentInf)^(A185-1)</f>
        <v/>
      </c>
      <c r="E185" s="25">
        <f>C185*(1-vacancyPct)-D185</f>
        <v/>
      </c>
      <c r="F185" s="25">
        <f>I184</f>
        <v/>
      </c>
      <c r="G185" s="25">
        <f>IF(AND(F185&gt;0, A185&lt;=loanMonths), F185*rMonthly, 0)</f>
        <v/>
      </c>
      <c r="H185" s="25">
        <f>IF(AND(F185&gt;0, A185&lt;=loanMonths), EMI, 0)</f>
        <v/>
      </c>
      <c r="I185" s="25">
        <f>IF(AND(F185&gt;0, A185&lt;=loanMonths), MAX(0, F185-MIN(EMI-G185, F185)), F185)</f>
        <v/>
      </c>
      <c r="J185" s="25">
        <f>K184</f>
        <v/>
      </c>
      <c r="K185" s="25">
        <f>J185*(1+mfMo)+H185-E185</f>
        <v/>
      </c>
      <c r="L185" s="25">
        <f>L184+E185</f>
        <v/>
      </c>
      <c r="M185" s="25">
        <f>M184+H185+MAX(0,-E185)</f>
        <v/>
      </c>
      <c r="N185" s="25">
        <f>N184+MAX(0,E185)</f>
        <v/>
      </c>
    </row>
    <row r="186">
      <c r="A186" s="22" t="n">
        <v>185</v>
      </c>
      <c r="B186" s="23">
        <f>propPrice*(1+monthlyAppn)^A186</f>
        <v/>
      </c>
      <c r="C186" s="23">
        <f>IF(A186&gt;=startRentalMonth, initRent*(1+monthlyRentInf)^(A186-1), 0)</f>
        <v/>
      </c>
      <c r="D186" s="23">
        <f>initMaint*(1+monthlyRentInf)^(A186-1)</f>
        <v/>
      </c>
      <c r="E186" s="23">
        <f>C186*(1-vacancyPct)-D186</f>
        <v/>
      </c>
      <c r="F186" s="23">
        <f>I185</f>
        <v/>
      </c>
      <c r="G186" s="23">
        <f>IF(AND(F186&gt;0, A186&lt;=loanMonths), F186*rMonthly, 0)</f>
        <v/>
      </c>
      <c r="H186" s="23">
        <f>IF(AND(F186&gt;0, A186&lt;=loanMonths), EMI, 0)</f>
        <v/>
      </c>
      <c r="I186" s="23">
        <f>IF(AND(F186&gt;0, A186&lt;=loanMonths), MAX(0, F186-MIN(EMI-G186, F186)), F186)</f>
        <v/>
      </c>
      <c r="J186" s="23">
        <f>K185</f>
        <v/>
      </c>
      <c r="K186" s="23">
        <f>J186*(1+mfMo)+H186-E186</f>
        <v/>
      </c>
      <c r="L186" s="23">
        <f>L185+E186</f>
        <v/>
      </c>
      <c r="M186" s="23">
        <f>M185+H186+MAX(0,-E186)</f>
        <v/>
      </c>
      <c r="N186" s="23">
        <f>N185+MAX(0,E186)</f>
        <v/>
      </c>
    </row>
    <row r="187">
      <c r="A187" s="24" t="n">
        <v>186</v>
      </c>
      <c r="B187" s="25">
        <f>propPrice*(1+monthlyAppn)^A187</f>
        <v/>
      </c>
      <c r="C187" s="25">
        <f>IF(A187&gt;=startRentalMonth, initRent*(1+monthlyRentInf)^(A187-1), 0)</f>
        <v/>
      </c>
      <c r="D187" s="25">
        <f>initMaint*(1+monthlyRentInf)^(A187-1)</f>
        <v/>
      </c>
      <c r="E187" s="25">
        <f>C187*(1-vacancyPct)-D187</f>
        <v/>
      </c>
      <c r="F187" s="25">
        <f>I186</f>
        <v/>
      </c>
      <c r="G187" s="25">
        <f>IF(AND(F187&gt;0, A187&lt;=loanMonths), F187*rMonthly, 0)</f>
        <v/>
      </c>
      <c r="H187" s="25">
        <f>IF(AND(F187&gt;0, A187&lt;=loanMonths), EMI, 0)</f>
        <v/>
      </c>
      <c r="I187" s="25">
        <f>IF(AND(F187&gt;0, A187&lt;=loanMonths), MAX(0, F187-MIN(EMI-G187, F187)), F187)</f>
        <v/>
      </c>
      <c r="J187" s="25">
        <f>K186</f>
        <v/>
      </c>
      <c r="K187" s="25">
        <f>J187*(1+mfMo)+H187-E187</f>
        <v/>
      </c>
      <c r="L187" s="25">
        <f>L186+E187</f>
        <v/>
      </c>
      <c r="M187" s="25">
        <f>M186+H187+MAX(0,-E187)</f>
        <v/>
      </c>
      <c r="N187" s="25">
        <f>N186+MAX(0,E187)</f>
        <v/>
      </c>
    </row>
    <row r="188">
      <c r="A188" s="22" t="n">
        <v>187</v>
      </c>
      <c r="B188" s="23">
        <f>propPrice*(1+monthlyAppn)^A188</f>
        <v/>
      </c>
      <c r="C188" s="23">
        <f>IF(A188&gt;=startRentalMonth, initRent*(1+monthlyRentInf)^(A188-1), 0)</f>
        <v/>
      </c>
      <c r="D188" s="23">
        <f>initMaint*(1+monthlyRentInf)^(A188-1)</f>
        <v/>
      </c>
      <c r="E188" s="23">
        <f>C188*(1-vacancyPct)-D188</f>
        <v/>
      </c>
      <c r="F188" s="23">
        <f>I187</f>
        <v/>
      </c>
      <c r="G188" s="23">
        <f>IF(AND(F188&gt;0, A188&lt;=loanMonths), F188*rMonthly, 0)</f>
        <v/>
      </c>
      <c r="H188" s="23">
        <f>IF(AND(F188&gt;0, A188&lt;=loanMonths), EMI, 0)</f>
        <v/>
      </c>
      <c r="I188" s="23">
        <f>IF(AND(F188&gt;0, A188&lt;=loanMonths), MAX(0, F188-MIN(EMI-G188, F188)), F188)</f>
        <v/>
      </c>
      <c r="J188" s="23">
        <f>K187</f>
        <v/>
      </c>
      <c r="K188" s="23">
        <f>J188*(1+mfMo)+H188-E188</f>
        <v/>
      </c>
      <c r="L188" s="23">
        <f>L187+E188</f>
        <v/>
      </c>
      <c r="M188" s="23">
        <f>M187+H188+MAX(0,-E188)</f>
        <v/>
      </c>
      <c r="N188" s="23">
        <f>N187+MAX(0,E188)</f>
        <v/>
      </c>
    </row>
    <row r="189">
      <c r="A189" s="24" t="n">
        <v>188</v>
      </c>
      <c r="B189" s="25">
        <f>propPrice*(1+monthlyAppn)^A189</f>
        <v/>
      </c>
      <c r="C189" s="25">
        <f>IF(A189&gt;=startRentalMonth, initRent*(1+monthlyRentInf)^(A189-1), 0)</f>
        <v/>
      </c>
      <c r="D189" s="25">
        <f>initMaint*(1+monthlyRentInf)^(A189-1)</f>
        <v/>
      </c>
      <c r="E189" s="25">
        <f>C189*(1-vacancyPct)-D189</f>
        <v/>
      </c>
      <c r="F189" s="25">
        <f>I188</f>
        <v/>
      </c>
      <c r="G189" s="25">
        <f>IF(AND(F189&gt;0, A189&lt;=loanMonths), F189*rMonthly, 0)</f>
        <v/>
      </c>
      <c r="H189" s="25">
        <f>IF(AND(F189&gt;0, A189&lt;=loanMonths), EMI, 0)</f>
        <v/>
      </c>
      <c r="I189" s="25">
        <f>IF(AND(F189&gt;0, A189&lt;=loanMonths), MAX(0, F189-MIN(EMI-G189, F189)), F189)</f>
        <v/>
      </c>
      <c r="J189" s="25">
        <f>K188</f>
        <v/>
      </c>
      <c r="K189" s="25">
        <f>J189*(1+mfMo)+H189-E189</f>
        <v/>
      </c>
      <c r="L189" s="25">
        <f>L188+E189</f>
        <v/>
      </c>
      <c r="M189" s="25">
        <f>M188+H189+MAX(0,-E189)</f>
        <v/>
      </c>
      <c r="N189" s="25">
        <f>N188+MAX(0,E189)</f>
        <v/>
      </c>
    </row>
    <row r="190">
      <c r="A190" s="22" t="n">
        <v>189</v>
      </c>
      <c r="B190" s="23">
        <f>propPrice*(1+monthlyAppn)^A190</f>
        <v/>
      </c>
      <c r="C190" s="23">
        <f>IF(A190&gt;=startRentalMonth, initRent*(1+monthlyRentInf)^(A190-1), 0)</f>
        <v/>
      </c>
      <c r="D190" s="23">
        <f>initMaint*(1+monthlyRentInf)^(A190-1)</f>
        <v/>
      </c>
      <c r="E190" s="23">
        <f>C190*(1-vacancyPct)-D190</f>
        <v/>
      </c>
      <c r="F190" s="23">
        <f>I189</f>
        <v/>
      </c>
      <c r="G190" s="23">
        <f>IF(AND(F190&gt;0, A190&lt;=loanMonths), F190*rMonthly, 0)</f>
        <v/>
      </c>
      <c r="H190" s="23">
        <f>IF(AND(F190&gt;0, A190&lt;=loanMonths), EMI, 0)</f>
        <v/>
      </c>
      <c r="I190" s="23">
        <f>IF(AND(F190&gt;0, A190&lt;=loanMonths), MAX(0, F190-MIN(EMI-G190, F190)), F190)</f>
        <v/>
      </c>
      <c r="J190" s="23">
        <f>K189</f>
        <v/>
      </c>
      <c r="K190" s="23">
        <f>J190*(1+mfMo)+H190-E190</f>
        <v/>
      </c>
      <c r="L190" s="23">
        <f>L189+E190</f>
        <v/>
      </c>
      <c r="M190" s="23">
        <f>M189+H190+MAX(0,-E190)</f>
        <v/>
      </c>
      <c r="N190" s="23">
        <f>N189+MAX(0,E190)</f>
        <v/>
      </c>
    </row>
    <row r="191">
      <c r="A191" s="24" t="n">
        <v>190</v>
      </c>
      <c r="B191" s="25">
        <f>propPrice*(1+monthlyAppn)^A191</f>
        <v/>
      </c>
      <c r="C191" s="25">
        <f>IF(A191&gt;=startRentalMonth, initRent*(1+monthlyRentInf)^(A191-1), 0)</f>
        <v/>
      </c>
      <c r="D191" s="25">
        <f>initMaint*(1+monthlyRentInf)^(A191-1)</f>
        <v/>
      </c>
      <c r="E191" s="25">
        <f>C191*(1-vacancyPct)-D191</f>
        <v/>
      </c>
      <c r="F191" s="25">
        <f>I190</f>
        <v/>
      </c>
      <c r="G191" s="25">
        <f>IF(AND(F191&gt;0, A191&lt;=loanMonths), F191*rMonthly, 0)</f>
        <v/>
      </c>
      <c r="H191" s="25">
        <f>IF(AND(F191&gt;0, A191&lt;=loanMonths), EMI, 0)</f>
        <v/>
      </c>
      <c r="I191" s="25">
        <f>IF(AND(F191&gt;0, A191&lt;=loanMonths), MAX(0, F191-MIN(EMI-G191, F191)), F191)</f>
        <v/>
      </c>
      <c r="J191" s="25">
        <f>K190</f>
        <v/>
      </c>
      <c r="K191" s="25">
        <f>J191*(1+mfMo)+H191-E191</f>
        <v/>
      </c>
      <c r="L191" s="25">
        <f>L190+E191</f>
        <v/>
      </c>
      <c r="M191" s="25">
        <f>M190+H191+MAX(0,-E191)</f>
        <v/>
      </c>
      <c r="N191" s="25">
        <f>N190+MAX(0,E191)</f>
        <v/>
      </c>
    </row>
    <row r="192">
      <c r="A192" s="22" t="n">
        <v>191</v>
      </c>
      <c r="B192" s="23">
        <f>propPrice*(1+monthlyAppn)^A192</f>
        <v/>
      </c>
      <c r="C192" s="23">
        <f>IF(A192&gt;=startRentalMonth, initRent*(1+monthlyRentInf)^(A192-1), 0)</f>
        <v/>
      </c>
      <c r="D192" s="23">
        <f>initMaint*(1+monthlyRentInf)^(A192-1)</f>
        <v/>
      </c>
      <c r="E192" s="23">
        <f>C192*(1-vacancyPct)-D192</f>
        <v/>
      </c>
      <c r="F192" s="23">
        <f>I191</f>
        <v/>
      </c>
      <c r="G192" s="23">
        <f>IF(AND(F192&gt;0, A192&lt;=loanMonths), F192*rMonthly, 0)</f>
        <v/>
      </c>
      <c r="H192" s="23">
        <f>IF(AND(F192&gt;0, A192&lt;=loanMonths), EMI, 0)</f>
        <v/>
      </c>
      <c r="I192" s="23">
        <f>IF(AND(F192&gt;0, A192&lt;=loanMonths), MAX(0, F192-MIN(EMI-G192, F192)), F192)</f>
        <v/>
      </c>
      <c r="J192" s="23">
        <f>K191</f>
        <v/>
      </c>
      <c r="K192" s="23">
        <f>J192*(1+mfMo)+H192-E192</f>
        <v/>
      </c>
      <c r="L192" s="23">
        <f>L191+E192</f>
        <v/>
      </c>
      <c r="M192" s="23">
        <f>M191+H192+MAX(0,-E192)</f>
        <v/>
      </c>
      <c r="N192" s="23">
        <f>N191+MAX(0,E192)</f>
        <v/>
      </c>
    </row>
    <row r="193">
      <c r="A193" s="24" t="n">
        <v>192</v>
      </c>
      <c r="B193" s="25">
        <f>propPrice*(1+monthlyAppn)^A193</f>
        <v/>
      </c>
      <c r="C193" s="25">
        <f>IF(A193&gt;=startRentalMonth, initRent*(1+monthlyRentInf)^(A193-1), 0)</f>
        <v/>
      </c>
      <c r="D193" s="25">
        <f>initMaint*(1+monthlyRentInf)^(A193-1)</f>
        <v/>
      </c>
      <c r="E193" s="25">
        <f>C193*(1-vacancyPct)-D193</f>
        <v/>
      </c>
      <c r="F193" s="25">
        <f>I192</f>
        <v/>
      </c>
      <c r="G193" s="25">
        <f>IF(AND(F193&gt;0, A193&lt;=loanMonths), F193*rMonthly, 0)</f>
        <v/>
      </c>
      <c r="H193" s="25">
        <f>IF(AND(F193&gt;0, A193&lt;=loanMonths), EMI, 0)</f>
        <v/>
      </c>
      <c r="I193" s="25">
        <f>IF(AND(F193&gt;0, A193&lt;=loanMonths), MAX(0, F193-MIN(EMI-G193, F193)), F193)</f>
        <v/>
      </c>
      <c r="J193" s="25">
        <f>K192</f>
        <v/>
      </c>
      <c r="K193" s="25">
        <f>J193*(1+mfMo)+H193-E193</f>
        <v/>
      </c>
      <c r="L193" s="25">
        <f>L192+E193</f>
        <v/>
      </c>
      <c r="M193" s="25">
        <f>M192+H193+MAX(0,-E193)</f>
        <v/>
      </c>
      <c r="N193" s="25">
        <f>N192+MAX(0,E193)</f>
        <v/>
      </c>
    </row>
    <row r="194">
      <c r="A194" s="22" t="n">
        <v>193</v>
      </c>
      <c r="B194" s="23">
        <f>propPrice*(1+monthlyAppn)^A194</f>
        <v/>
      </c>
      <c r="C194" s="23">
        <f>IF(A194&gt;=startRentalMonth, initRent*(1+monthlyRentInf)^(A194-1), 0)</f>
        <v/>
      </c>
      <c r="D194" s="23">
        <f>initMaint*(1+monthlyRentInf)^(A194-1)</f>
        <v/>
      </c>
      <c r="E194" s="23">
        <f>C194*(1-vacancyPct)-D194</f>
        <v/>
      </c>
      <c r="F194" s="23">
        <f>I193</f>
        <v/>
      </c>
      <c r="G194" s="23">
        <f>IF(AND(F194&gt;0, A194&lt;=loanMonths), F194*rMonthly, 0)</f>
        <v/>
      </c>
      <c r="H194" s="23">
        <f>IF(AND(F194&gt;0, A194&lt;=loanMonths), EMI, 0)</f>
        <v/>
      </c>
      <c r="I194" s="23">
        <f>IF(AND(F194&gt;0, A194&lt;=loanMonths), MAX(0, F194-MIN(EMI-G194, F194)), F194)</f>
        <v/>
      </c>
      <c r="J194" s="23">
        <f>K193</f>
        <v/>
      </c>
      <c r="K194" s="23">
        <f>J194*(1+mfMo)+H194-E194</f>
        <v/>
      </c>
      <c r="L194" s="23">
        <f>L193+E194</f>
        <v/>
      </c>
      <c r="M194" s="23">
        <f>M193+H194+MAX(0,-E194)</f>
        <v/>
      </c>
      <c r="N194" s="23">
        <f>N193+MAX(0,E194)</f>
        <v/>
      </c>
    </row>
    <row r="195">
      <c r="A195" s="24" t="n">
        <v>194</v>
      </c>
      <c r="B195" s="25">
        <f>propPrice*(1+monthlyAppn)^A195</f>
        <v/>
      </c>
      <c r="C195" s="25">
        <f>IF(A195&gt;=startRentalMonth, initRent*(1+monthlyRentInf)^(A195-1), 0)</f>
        <v/>
      </c>
      <c r="D195" s="25">
        <f>initMaint*(1+monthlyRentInf)^(A195-1)</f>
        <v/>
      </c>
      <c r="E195" s="25">
        <f>C195*(1-vacancyPct)-D195</f>
        <v/>
      </c>
      <c r="F195" s="25">
        <f>I194</f>
        <v/>
      </c>
      <c r="G195" s="25">
        <f>IF(AND(F195&gt;0, A195&lt;=loanMonths), F195*rMonthly, 0)</f>
        <v/>
      </c>
      <c r="H195" s="25">
        <f>IF(AND(F195&gt;0, A195&lt;=loanMonths), EMI, 0)</f>
        <v/>
      </c>
      <c r="I195" s="25">
        <f>IF(AND(F195&gt;0, A195&lt;=loanMonths), MAX(0, F195-MIN(EMI-G195, F195)), F195)</f>
        <v/>
      </c>
      <c r="J195" s="25">
        <f>K194</f>
        <v/>
      </c>
      <c r="K195" s="25">
        <f>J195*(1+mfMo)+H195-E195</f>
        <v/>
      </c>
      <c r="L195" s="25">
        <f>L194+E195</f>
        <v/>
      </c>
      <c r="M195" s="25">
        <f>M194+H195+MAX(0,-E195)</f>
        <v/>
      </c>
      <c r="N195" s="25">
        <f>N194+MAX(0,E195)</f>
        <v/>
      </c>
    </row>
    <row r="196">
      <c r="A196" s="22" t="n">
        <v>195</v>
      </c>
      <c r="B196" s="23">
        <f>propPrice*(1+monthlyAppn)^A196</f>
        <v/>
      </c>
      <c r="C196" s="23">
        <f>IF(A196&gt;=startRentalMonth, initRent*(1+monthlyRentInf)^(A196-1), 0)</f>
        <v/>
      </c>
      <c r="D196" s="23">
        <f>initMaint*(1+monthlyRentInf)^(A196-1)</f>
        <v/>
      </c>
      <c r="E196" s="23">
        <f>C196*(1-vacancyPct)-D196</f>
        <v/>
      </c>
      <c r="F196" s="23">
        <f>I195</f>
        <v/>
      </c>
      <c r="G196" s="23">
        <f>IF(AND(F196&gt;0, A196&lt;=loanMonths), F196*rMonthly, 0)</f>
        <v/>
      </c>
      <c r="H196" s="23">
        <f>IF(AND(F196&gt;0, A196&lt;=loanMonths), EMI, 0)</f>
        <v/>
      </c>
      <c r="I196" s="23">
        <f>IF(AND(F196&gt;0, A196&lt;=loanMonths), MAX(0, F196-MIN(EMI-G196, F196)), F196)</f>
        <v/>
      </c>
      <c r="J196" s="23">
        <f>K195</f>
        <v/>
      </c>
      <c r="K196" s="23">
        <f>J196*(1+mfMo)+H196-E196</f>
        <v/>
      </c>
      <c r="L196" s="23">
        <f>L195+E196</f>
        <v/>
      </c>
      <c r="M196" s="23">
        <f>M195+H196+MAX(0,-E196)</f>
        <v/>
      </c>
      <c r="N196" s="23">
        <f>N195+MAX(0,E196)</f>
        <v/>
      </c>
    </row>
    <row r="197">
      <c r="A197" s="24" t="n">
        <v>196</v>
      </c>
      <c r="B197" s="25">
        <f>propPrice*(1+monthlyAppn)^A197</f>
        <v/>
      </c>
      <c r="C197" s="25">
        <f>IF(A197&gt;=startRentalMonth, initRent*(1+monthlyRentInf)^(A197-1), 0)</f>
        <v/>
      </c>
      <c r="D197" s="25">
        <f>initMaint*(1+monthlyRentInf)^(A197-1)</f>
        <v/>
      </c>
      <c r="E197" s="25">
        <f>C197*(1-vacancyPct)-D197</f>
        <v/>
      </c>
      <c r="F197" s="25">
        <f>I196</f>
        <v/>
      </c>
      <c r="G197" s="25">
        <f>IF(AND(F197&gt;0, A197&lt;=loanMonths), F197*rMonthly, 0)</f>
        <v/>
      </c>
      <c r="H197" s="25">
        <f>IF(AND(F197&gt;0, A197&lt;=loanMonths), EMI, 0)</f>
        <v/>
      </c>
      <c r="I197" s="25">
        <f>IF(AND(F197&gt;0, A197&lt;=loanMonths), MAX(0, F197-MIN(EMI-G197, F197)), F197)</f>
        <v/>
      </c>
      <c r="J197" s="25">
        <f>K196</f>
        <v/>
      </c>
      <c r="K197" s="25">
        <f>J197*(1+mfMo)+H197-E197</f>
        <v/>
      </c>
      <c r="L197" s="25">
        <f>L196+E197</f>
        <v/>
      </c>
      <c r="M197" s="25">
        <f>M196+H197+MAX(0,-E197)</f>
        <v/>
      </c>
      <c r="N197" s="25">
        <f>N196+MAX(0,E197)</f>
        <v/>
      </c>
    </row>
    <row r="198">
      <c r="A198" s="22" t="n">
        <v>197</v>
      </c>
      <c r="B198" s="23">
        <f>propPrice*(1+monthlyAppn)^A198</f>
        <v/>
      </c>
      <c r="C198" s="23">
        <f>IF(A198&gt;=startRentalMonth, initRent*(1+monthlyRentInf)^(A198-1), 0)</f>
        <v/>
      </c>
      <c r="D198" s="23">
        <f>initMaint*(1+monthlyRentInf)^(A198-1)</f>
        <v/>
      </c>
      <c r="E198" s="23">
        <f>C198*(1-vacancyPct)-D198</f>
        <v/>
      </c>
      <c r="F198" s="23">
        <f>I197</f>
        <v/>
      </c>
      <c r="G198" s="23">
        <f>IF(AND(F198&gt;0, A198&lt;=loanMonths), F198*rMonthly, 0)</f>
        <v/>
      </c>
      <c r="H198" s="23">
        <f>IF(AND(F198&gt;0, A198&lt;=loanMonths), EMI, 0)</f>
        <v/>
      </c>
      <c r="I198" s="23">
        <f>IF(AND(F198&gt;0, A198&lt;=loanMonths), MAX(0, F198-MIN(EMI-G198, F198)), F198)</f>
        <v/>
      </c>
      <c r="J198" s="23">
        <f>K197</f>
        <v/>
      </c>
      <c r="K198" s="23">
        <f>J198*(1+mfMo)+H198-E198</f>
        <v/>
      </c>
      <c r="L198" s="23">
        <f>L197+E198</f>
        <v/>
      </c>
      <c r="M198" s="23">
        <f>M197+H198+MAX(0,-E198)</f>
        <v/>
      </c>
      <c r="N198" s="23">
        <f>N197+MAX(0,E198)</f>
        <v/>
      </c>
    </row>
    <row r="199">
      <c r="A199" s="24" t="n">
        <v>198</v>
      </c>
      <c r="B199" s="25">
        <f>propPrice*(1+monthlyAppn)^A199</f>
        <v/>
      </c>
      <c r="C199" s="25">
        <f>IF(A199&gt;=startRentalMonth, initRent*(1+monthlyRentInf)^(A199-1), 0)</f>
        <v/>
      </c>
      <c r="D199" s="25">
        <f>initMaint*(1+monthlyRentInf)^(A199-1)</f>
        <v/>
      </c>
      <c r="E199" s="25">
        <f>C199*(1-vacancyPct)-D199</f>
        <v/>
      </c>
      <c r="F199" s="25">
        <f>I198</f>
        <v/>
      </c>
      <c r="G199" s="25">
        <f>IF(AND(F199&gt;0, A199&lt;=loanMonths), F199*rMonthly, 0)</f>
        <v/>
      </c>
      <c r="H199" s="25">
        <f>IF(AND(F199&gt;0, A199&lt;=loanMonths), EMI, 0)</f>
        <v/>
      </c>
      <c r="I199" s="25">
        <f>IF(AND(F199&gt;0, A199&lt;=loanMonths), MAX(0, F199-MIN(EMI-G199, F199)), F199)</f>
        <v/>
      </c>
      <c r="J199" s="25">
        <f>K198</f>
        <v/>
      </c>
      <c r="K199" s="25">
        <f>J199*(1+mfMo)+H199-E199</f>
        <v/>
      </c>
      <c r="L199" s="25">
        <f>L198+E199</f>
        <v/>
      </c>
      <c r="M199" s="25">
        <f>M198+H199+MAX(0,-E199)</f>
        <v/>
      </c>
      <c r="N199" s="25">
        <f>N198+MAX(0,E199)</f>
        <v/>
      </c>
    </row>
    <row r="200">
      <c r="A200" s="22" t="n">
        <v>199</v>
      </c>
      <c r="B200" s="23">
        <f>propPrice*(1+monthlyAppn)^A200</f>
        <v/>
      </c>
      <c r="C200" s="23">
        <f>IF(A200&gt;=startRentalMonth, initRent*(1+monthlyRentInf)^(A200-1), 0)</f>
        <v/>
      </c>
      <c r="D200" s="23">
        <f>initMaint*(1+monthlyRentInf)^(A200-1)</f>
        <v/>
      </c>
      <c r="E200" s="23">
        <f>C200*(1-vacancyPct)-D200</f>
        <v/>
      </c>
      <c r="F200" s="23">
        <f>I199</f>
        <v/>
      </c>
      <c r="G200" s="23">
        <f>IF(AND(F200&gt;0, A200&lt;=loanMonths), F200*rMonthly, 0)</f>
        <v/>
      </c>
      <c r="H200" s="23">
        <f>IF(AND(F200&gt;0, A200&lt;=loanMonths), EMI, 0)</f>
        <v/>
      </c>
      <c r="I200" s="23">
        <f>IF(AND(F200&gt;0, A200&lt;=loanMonths), MAX(0, F200-MIN(EMI-G200, F200)), F200)</f>
        <v/>
      </c>
      <c r="J200" s="23">
        <f>K199</f>
        <v/>
      </c>
      <c r="K200" s="23">
        <f>J200*(1+mfMo)+H200-E200</f>
        <v/>
      </c>
      <c r="L200" s="23">
        <f>L199+E200</f>
        <v/>
      </c>
      <c r="M200" s="23">
        <f>M199+H200+MAX(0,-E200)</f>
        <v/>
      </c>
      <c r="N200" s="23">
        <f>N199+MAX(0,E200)</f>
        <v/>
      </c>
    </row>
    <row r="201">
      <c r="A201" s="24" t="n">
        <v>200</v>
      </c>
      <c r="B201" s="25">
        <f>propPrice*(1+monthlyAppn)^A201</f>
        <v/>
      </c>
      <c r="C201" s="25">
        <f>IF(A201&gt;=startRentalMonth, initRent*(1+monthlyRentInf)^(A201-1), 0)</f>
        <v/>
      </c>
      <c r="D201" s="25">
        <f>initMaint*(1+monthlyRentInf)^(A201-1)</f>
        <v/>
      </c>
      <c r="E201" s="25">
        <f>C201*(1-vacancyPct)-D201</f>
        <v/>
      </c>
      <c r="F201" s="25">
        <f>I200</f>
        <v/>
      </c>
      <c r="G201" s="25">
        <f>IF(AND(F201&gt;0, A201&lt;=loanMonths), F201*rMonthly, 0)</f>
        <v/>
      </c>
      <c r="H201" s="25">
        <f>IF(AND(F201&gt;0, A201&lt;=loanMonths), EMI, 0)</f>
        <v/>
      </c>
      <c r="I201" s="25">
        <f>IF(AND(F201&gt;0, A201&lt;=loanMonths), MAX(0, F201-MIN(EMI-G201, F201)), F201)</f>
        <v/>
      </c>
      <c r="J201" s="25">
        <f>K200</f>
        <v/>
      </c>
      <c r="K201" s="25">
        <f>J201*(1+mfMo)+H201-E201</f>
        <v/>
      </c>
      <c r="L201" s="25">
        <f>L200+E201</f>
        <v/>
      </c>
      <c r="M201" s="25">
        <f>M200+H201+MAX(0,-E201)</f>
        <v/>
      </c>
      <c r="N201" s="25">
        <f>N200+MAX(0,E201)</f>
        <v/>
      </c>
    </row>
    <row r="202">
      <c r="A202" s="22" t="n">
        <v>201</v>
      </c>
      <c r="B202" s="23">
        <f>propPrice*(1+monthlyAppn)^A202</f>
        <v/>
      </c>
      <c r="C202" s="23">
        <f>IF(A202&gt;=startRentalMonth, initRent*(1+monthlyRentInf)^(A202-1), 0)</f>
        <v/>
      </c>
      <c r="D202" s="23">
        <f>initMaint*(1+monthlyRentInf)^(A202-1)</f>
        <v/>
      </c>
      <c r="E202" s="23">
        <f>C202*(1-vacancyPct)-D202</f>
        <v/>
      </c>
      <c r="F202" s="23">
        <f>I201</f>
        <v/>
      </c>
      <c r="G202" s="23">
        <f>IF(AND(F202&gt;0, A202&lt;=loanMonths), F202*rMonthly, 0)</f>
        <v/>
      </c>
      <c r="H202" s="23">
        <f>IF(AND(F202&gt;0, A202&lt;=loanMonths), EMI, 0)</f>
        <v/>
      </c>
      <c r="I202" s="23">
        <f>IF(AND(F202&gt;0, A202&lt;=loanMonths), MAX(0, F202-MIN(EMI-G202, F202)), F202)</f>
        <v/>
      </c>
      <c r="J202" s="23">
        <f>K201</f>
        <v/>
      </c>
      <c r="K202" s="23">
        <f>J202*(1+mfMo)+H202-E202</f>
        <v/>
      </c>
      <c r="L202" s="23">
        <f>L201+E202</f>
        <v/>
      </c>
      <c r="M202" s="23">
        <f>M201+H202+MAX(0,-E202)</f>
        <v/>
      </c>
      <c r="N202" s="23">
        <f>N201+MAX(0,E202)</f>
        <v/>
      </c>
    </row>
    <row r="203">
      <c r="A203" s="24" t="n">
        <v>202</v>
      </c>
      <c r="B203" s="25">
        <f>propPrice*(1+monthlyAppn)^A203</f>
        <v/>
      </c>
      <c r="C203" s="25">
        <f>IF(A203&gt;=startRentalMonth, initRent*(1+monthlyRentInf)^(A203-1), 0)</f>
        <v/>
      </c>
      <c r="D203" s="25">
        <f>initMaint*(1+monthlyRentInf)^(A203-1)</f>
        <v/>
      </c>
      <c r="E203" s="25">
        <f>C203*(1-vacancyPct)-D203</f>
        <v/>
      </c>
      <c r="F203" s="25">
        <f>I202</f>
        <v/>
      </c>
      <c r="G203" s="25">
        <f>IF(AND(F203&gt;0, A203&lt;=loanMonths), F203*rMonthly, 0)</f>
        <v/>
      </c>
      <c r="H203" s="25">
        <f>IF(AND(F203&gt;0, A203&lt;=loanMonths), EMI, 0)</f>
        <v/>
      </c>
      <c r="I203" s="25">
        <f>IF(AND(F203&gt;0, A203&lt;=loanMonths), MAX(0, F203-MIN(EMI-G203, F203)), F203)</f>
        <v/>
      </c>
      <c r="J203" s="25">
        <f>K202</f>
        <v/>
      </c>
      <c r="K203" s="25">
        <f>J203*(1+mfMo)+H203-E203</f>
        <v/>
      </c>
      <c r="L203" s="25">
        <f>L202+E203</f>
        <v/>
      </c>
      <c r="M203" s="25">
        <f>M202+H203+MAX(0,-E203)</f>
        <v/>
      </c>
      <c r="N203" s="25">
        <f>N202+MAX(0,E203)</f>
        <v/>
      </c>
    </row>
    <row r="204">
      <c r="A204" s="22" t="n">
        <v>203</v>
      </c>
      <c r="B204" s="23">
        <f>propPrice*(1+monthlyAppn)^A204</f>
        <v/>
      </c>
      <c r="C204" s="23">
        <f>IF(A204&gt;=startRentalMonth, initRent*(1+monthlyRentInf)^(A204-1), 0)</f>
        <v/>
      </c>
      <c r="D204" s="23">
        <f>initMaint*(1+monthlyRentInf)^(A204-1)</f>
        <v/>
      </c>
      <c r="E204" s="23">
        <f>C204*(1-vacancyPct)-D204</f>
        <v/>
      </c>
      <c r="F204" s="23">
        <f>I203</f>
        <v/>
      </c>
      <c r="G204" s="23">
        <f>IF(AND(F204&gt;0, A204&lt;=loanMonths), F204*rMonthly, 0)</f>
        <v/>
      </c>
      <c r="H204" s="23">
        <f>IF(AND(F204&gt;0, A204&lt;=loanMonths), EMI, 0)</f>
        <v/>
      </c>
      <c r="I204" s="23">
        <f>IF(AND(F204&gt;0, A204&lt;=loanMonths), MAX(0, F204-MIN(EMI-G204, F204)), F204)</f>
        <v/>
      </c>
      <c r="J204" s="23">
        <f>K203</f>
        <v/>
      </c>
      <c r="K204" s="23">
        <f>J204*(1+mfMo)+H204-E204</f>
        <v/>
      </c>
      <c r="L204" s="23">
        <f>L203+E204</f>
        <v/>
      </c>
      <c r="M204" s="23">
        <f>M203+H204+MAX(0,-E204)</f>
        <v/>
      </c>
      <c r="N204" s="23">
        <f>N203+MAX(0,E204)</f>
        <v/>
      </c>
    </row>
    <row r="205">
      <c r="A205" s="24" t="n">
        <v>204</v>
      </c>
      <c r="B205" s="25">
        <f>propPrice*(1+monthlyAppn)^A205</f>
        <v/>
      </c>
      <c r="C205" s="25">
        <f>IF(A205&gt;=startRentalMonth, initRent*(1+monthlyRentInf)^(A205-1), 0)</f>
        <v/>
      </c>
      <c r="D205" s="25">
        <f>initMaint*(1+monthlyRentInf)^(A205-1)</f>
        <v/>
      </c>
      <c r="E205" s="25">
        <f>C205*(1-vacancyPct)-D205</f>
        <v/>
      </c>
      <c r="F205" s="25">
        <f>I204</f>
        <v/>
      </c>
      <c r="G205" s="25">
        <f>IF(AND(F205&gt;0, A205&lt;=loanMonths), F205*rMonthly, 0)</f>
        <v/>
      </c>
      <c r="H205" s="25">
        <f>IF(AND(F205&gt;0, A205&lt;=loanMonths), EMI, 0)</f>
        <v/>
      </c>
      <c r="I205" s="25">
        <f>IF(AND(F205&gt;0, A205&lt;=loanMonths), MAX(0, F205-MIN(EMI-G205, F205)), F205)</f>
        <v/>
      </c>
      <c r="J205" s="25">
        <f>K204</f>
        <v/>
      </c>
      <c r="K205" s="25">
        <f>J205*(1+mfMo)+H205-E205</f>
        <v/>
      </c>
      <c r="L205" s="25">
        <f>L204+E205</f>
        <v/>
      </c>
      <c r="M205" s="25">
        <f>M204+H205+MAX(0,-E205)</f>
        <v/>
      </c>
      <c r="N205" s="25">
        <f>N204+MAX(0,E205)</f>
        <v/>
      </c>
    </row>
    <row r="206">
      <c r="A206" s="22" t="n">
        <v>205</v>
      </c>
      <c r="B206" s="23">
        <f>propPrice*(1+monthlyAppn)^A206</f>
        <v/>
      </c>
      <c r="C206" s="23">
        <f>IF(A206&gt;=startRentalMonth, initRent*(1+monthlyRentInf)^(A206-1), 0)</f>
        <v/>
      </c>
      <c r="D206" s="23">
        <f>initMaint*(1+monthlyRentInf)^(A206-1)</f>
        <v/>
      </c>
      <c r="E206" s="23">
        <f>C206*(1-vacancyPct)-D206</f>
        <v/>
      </c>
      <c r="F206" s="23">
        <f>I205</f>
        <v/>
      </c>
      <c r="G206" s="23">
        <f>IF(AND(F206&gt;0, A206&lt;=loanMonths), F206*rMonthly, 0)</f>
        <v/>
      </c>
      <c r="H206" s="23">
        <f>IF(AND(F206&gt;0, A206&lt;=loanMonths), EMI, 0)</f>
        <v/>
      </c>
      <c r="I206" s="23">
        <f>IF(AND(F206&gt;0, A206&lt;=loanMonths), MAX(0, F206-MIN(EMI-G206, F206)), F206)</f>
        <v/>
      </c>
      <c r="J206" s="23">
        <f>K205</f>
        <v/>
      </c>
      <c r="K206" s="23">
        <f>J206*(1+mfMo)+H206-E206</f>
        <v/>
      </c>
      <c r="L206" s="23">
        <f>L205+E206</f>
        <v/>
      </c>
      <c r="M206" s="23">
        <f>M205+H206+MAX(0,-E206)</f>
        <v/>
      </c>
      <c r="N206" s="23">
        <f>N205+MAX(0,E206)</f>
        <v/>
      </c>
    </row>
    <row r="207">
      <c r="A207" s="24" t="n">
        <v>206</v>
      </c>
      <c r="B207" s="25">
        <f>propPrice*(1+monthlyAppn)^A207</f>
        <v/>
      </c>
      <c r="C207" s="25">
        <f>IF(A207&gt;=startRentalMonth, initRent*(1+monthlyRentInf)^(A207-1), 0)</f>
        <v/>
      </c>
      <c r="D207" s="25">
        <f>initMaint*(1+monthlyRentInf)^(A207-1)</f>
        <v/>
      </c>
      <c r="E207" s="25">
        <f>C207*(1-vacancyPct)-D207</f>
        <v/>
      </c>
      <c r="F207" s="25">
        <f>I206</f>
        <v/>
      </c>
      <c r="G207" s="25">
        <f>IF(AND(F207&gt;0, A207&lt;=loanMonths), F207*rMonthly, 0)</f>
        <v/>
      </c>
      <c r="H207" s="25">
        <f>IF(AND(F207&gt;0, A207&lt;=loanMonths), EMI, 0)</f>
        <v/>
      </c>
      <c r="I207" s="25">
        <f>IF(AND(F207&gt;0, A207&lt;=loanMonths), MAX(0, F207-MIN(EMI-G207, F207)), F207)</f>
        <v/>
      </c>
      <c r="J207" s="25">
        <f>K206</f>
        <v/>
      </c>
      <c r="K207" s="25">
        <f>J207*(1+mfMo)+H207-E207</f>
        <v/>
      </c>
      <c r="L207" s="25">
        <f>L206+E207</f>
        <v/>
      </c>
      <c r="M207" s="25">
        <f>M206+H207+MAX(0,-E207)</f>
        <v/>
      </c>
      <c r="N207" s="25">
        <f>N206+MAX(0,E207)</f>
        <v/>
      </c>
    </row>
    <row r="208">
      <c r="A208" s="22" t="n">
        <v>207</v>
      </c>
      <c r="B208" s="23">
        <f>propPrice*(1+monthlyAppn)^A208</f>
        <v/>
      </c>
      <c r="C208" s="23">
        <f>IF(A208&gt;=startRentalMonth, initRent*(1+monthlyRentInf)^(A208-1), 0)</f>
        <v/>
      </c>
      <c r="D208" s="23">
        <f>initMaint*(1+monthlyRentInf)^(A208-1)</f>
        <v/>
      </c>
      <c r="E208" s="23">
        <f>C208*(1-vacancyPct)-D208</f>
        <v/>
      </c>
      <c r="F208" s="23">
        <f>I207</f>
        <v/>
      </c>
      <c r="G208" s="23">
        <f>IF(AND(F208&gt;0, A208&lt;=loanMonths), F208*rMonthly, 0)</f>
        <v/>
      </c>
      <c r="H208" s="23">
        <f>IF(AND(F208&gt;0, A208&lt;=loanMonths), EMI, 0)</f>
        <v/>
      </c>
      <c r="I208" s="23">
        <f>IF(AND(F208&gt;0, A208&lt;=loanMonths), MAX(0, F208-MIN(EMI-G208, F208)), F208)</f>
        <v/>
      </c>
      <c r="J208" s="23">
        <f>K207</f>
        <v/>
      </c>
      <c r="K208" s="23">
        <f>J208*(1+mfMo)+H208-E208</f>
        <v/>
      </c>
      <c r="L208" s="23">
        <f>L207+E208</f>
        <v/>
      </c>
      <c r="M208" s="23">
        <f>M207+H208+MAX(0,-E208)</f>
        <v/>
      </c>
      <c r="N208" s="23">
        <f>N207+MAX(0,E208)</f>
        <v/>
      </c>
    </row>
    <row r="209">
      <c r="A209" s="24" t="n">
        <v>208</v>
      </c>
      <c r="B209" s="25">
        <f>propPrice*(1+monthlyAppn)^A209</f>
        <v/>
      </c>
      <c r="C209" s="25">
        <f>IF(A209&gt;=startRentalMonth, initRent*(1+monthlyRentInf)^(A209-1), 0)</f>
        <v/>
      </c>
      <c r="D209" s="25">
        <f>initMaint*(1+monthlyRentInf)^(A209-1)</f>
        <v/>
      </c>
      <c r="E209" s="25">
        <f>C209*(1-vacancyPct)-D209</f>
        <v/>
      </c>
      <c r="F209" s="25">
        <f>I208</f>
        <v/>
      </c>
      <c r="G209" s="25">
        <f>IF(AND(F209&gt;0, A209&lt;=loanMonths), F209*rMonthly, 0)</f>
        <v/>
      </c>
      <c r="H209" s="25">
        <f>IF(AND(F209&gt;0, A209&lt;=loanMonths), EMI, 0)</f>
        <v/>
      </c>
      <c r="I209" s="25">
        <f>IF(AND(F209&gt;0, A209&lt;=loanMonths), MAX(0, F209-MIN(EMI-G209, F209)), F209)</f>
        <v/>
      </c>
      <c r="J209" s="25">
        <f>K208</f>
        <v/>
      </c>
      <c r="K209" s="25">
        <f>J209*(1+mfMo)+H209-E209</f>
        <v/>
      </c>
      <c r="L209" s="25">
        <f>L208+E209</f>
        <v/>
      </c>
      <c r="M209" s="25">
        <f>M208+H209+MAX(0,-E209)</f>
        <v/>
      </c>
      <c r="N209" s="25">
        <f>N208+MAX(0,E209)</f>
        <v/>
      </c>
    </row>
    <row r="210">
      <c r="A210" s="22" t="n">
        <v>209</v>
      </c>
      <c r="B210" s="23">
        <f>propPrice*(1+monthlyAppn)^A210</f>
        <v/>
      </c>
      <c r="C210" s="23">
        <f>IF(A210&gt;=startRentalMonth, initRent*(1+monthlyRentInf)^(A210-1), 0)</f>
        <v/>
      </c>
      <c r="D210" s="23">
        <f>initMaint*(1+monthlyRentInf)^(A210-1)</f>
        <v/>
      </c>
      <c r="E210" s="23">
        <f>C210*(1-vacancyPct)-D210</f>
        <v/>
      </c>
      <c r="F210" s="23">
        <f>I209</f>
        <v/>
      </c>
      <c r="G210" s="23">
        <f>IF(AND(F210&gt;0, A210&lt;=loanMonths), F210*rMonthly, 0)</f>
        <v/>
      </c>
      <c r="H210" s="23">
        <f>IF(AND(F210&gt;0, A210&lt;=loanMonths), EMI, 0)</f>
        <v/>
      </c>
      <c r="I210" s="23">
        <f>IF(AND(F210&gt;0, A210&lt;=loanMonths), MAX(0, F210-MIN(EMI-G210, F210)), F210)</f>
        <v/>
      </c>
      <c r="J210" s="23">
        <f>K209</f>
        <v/>
      </c>
      <c r="K210" s="23">
        <f>J210*(1+mfMo)+H210-E210</f>
        <v/>
      </c>
      <c r="L210" s="23">
        <f>L209+E210</f>
        <v/>
      </c>
      <c r="M210" s="23">
        <f>M209+H210+MAX(0,-E210)</f>
        <v/>
      </c>
      <c r="N210" s="23">
        <f>N209+MAX(0,E210)</f>
        <v/>
      </c>
    </row>
    <row r="211">
      <c r="A211" s="24" t="n">
        <v>210</v>
      </c>
      <c r="B211" s="25">
        <f>propPrice*(1+monthlyAppn)^A211</f>
        <v/>
      </c>
      <c r="C211" s="25">
        <f>IF(A211&gt;=startRentalMonth, initRent*(1+monthlyRentInf)^(A211-1), 0)</f>
        <v/>
      </c>
      <c r="D211" s="25">
        <f>initMaint*(1+monthlyRentInf)^(A211-1)</f>
        <v/>
      </c>
      <c r="E211" s="25">
        <f>C211*(1-vacancyPct)-D211</f>
        <v/>
      </c>
      <c r="F211" s="25">
        <f>I210</f>
        <v/>
      </c>
      <c r="G211" s="25">
        <f>IF(AND(F211&gt;0, A211&lt;=loanMonths), F211*rMonthly, 0)</f>
        <v/>
      </c>
      <c r="H211" s="25">
        <f>IF(AND(F211&gt;0, A211&lt;=loanMonths), EMI, 0)</f>
        <v/>
      </c>
      <c r="I211" s="25">
        <f>IF(AND(F211&gt;0, A211&lt;=loanMonths), MAX(0, F211-MIN(EMI-G211, F211)), F211)</f>
        <v/>
      </c>
      <c r="J211" s="25">
        <f>K210</f>
        <v/>
      </c>
      <c r="K211" s="25">
        <f>J211*(1+mfMo)+H211-E211</f>
        <v/>
      </c>
      <c r="L211" s="25">
        <f>L210+E211</f>
        <v/>
      </c>
      <c r="M211" s="25">
        <f>M210+H211+MAX(0,-E211)</f>
        <v/>
      </c>
      <c r="N211" s="25">
        <f>N210+MAX(0,E211)</f>
        <v/>
      </c>
    </row>
    <row r="212">
      <c r="A212" s="22" t="n">
        <v>211</v>
      </c>
      <c r="B212" s="23">
        <f>propPrice*(1+monthlyAppn)^A212</f>
        <v/>
      </c>
      <c r="C212" s="23">
        <f>IF(A212&gt;=startRentalMonth, initRent*(1+monthlyRentInf)^(A212-1), 0)</f>
        <v/>
      </c>
      <c r="D212" s="23">
        <f>initMaint*(1+monthlyRentInf)^(A212-1)</f>
        <v/>
      </c>
      <c r="E212" s="23">
        <f>C212*(1-vacancyPct)-D212</f>
        <v/>
      </c>
      <c r="F212" s="23">
        <f>I211</f>
        <v/>
      </c>
      <c r="G212" s="23">
        <f>IF(AND(F212&gt;0, A212&lt;=loanMonths), F212*rMonthly, 0)</f>
        <v/>
      </c>
      <c r="H212" s="23">
        <f>IF(AND(F212&gt;0, A212&lt;=loanMonths), EMI, 0)</f>
        <v/>
      </c>
      <c r="I212" s="23">
        <f>IF(AND(F212&gt;0, A212&lt;=loanMonths), MAX(0, F212-MIN(EMI-G212, F212)), F212)</f>
        <v/>
      </c>
      <c r="J212" s="23">
        <f>K211</f>
        <v/>
      </c>
      <c r="K212" s="23">
        <f>J212*(1+mfMo)+H212-E212</f>
        <v/>
      </c>
      <c r="L212" s="23">
        <f>L211+E212</f>
        <v/>
      </c>
      <c r="M212" s="23">
        <f>M211+H212+MAX(0,-E212)</f>
        <v/>
      </c>
      <c r="N212" s="23">
        <f>N211+MAX(0,E212)</f>
        <v/>
      </c>
    </row>
    <row r="213">
      <c r="A213" s="24" t="n">
        <v>212</v>
      </c>
      <c r="B213" s="25">
        <f>propPrice*(1+monthlyAppn)^A213</f>
        <v/>
      </c>
      <c r="C213" s="25">
        <f>IF(A213&gt;=startRentalMonth, initRent*(1+monthlyRentInf)^(A213-1), 0)</f>
        <v/>
      </c>
      <c r="D213" s="25">
        <f>initMaint*(1+monthlyRentInf)^(A213-1)</f>
        <v/>
      </c>
      <c r="E213" s="25">
        <f>C213*(1-vacancyPct)-D213</f>
        <v/>
      </c>
      <c r="F213" s="25">
        <f>I212</f>
        <v/>
      </c>
      <c r="G213" s="25">
        <f>IF(AND(F213&gt;0, A213&lt;=loanMonths), F213*rMonthly, 0)</f>
        <v/>
      </c>
      <c r="H213" s="25">
        <f>IF(AND(F213&gt;0, A213&lt;=loanMonths), EMI, 0)</f>
        <v/>
      </c>
      <c r="I213" s="25">
        <f>IF(AND(F213&gt;0, A213&lt;=loanMonths), MAX(0, F213-MIN(EMI-G213, F213)), F213)</f>
        <v/>
      </c>
      <c r="J213" s="25">
        <f>K212</f>
        <v/>
      </c>
      <c r="K213" s="25">
        <f>J213*(1+mfMo)+H213-E213</f>
        <v/>
      </c>
      <c r="L213" s="25">
        <f>L212+E213</f>
        <v/>
      </c>
      <c r="M213" s="25">
        <f>M212+H213+MAX(0,-E213)</f>
        <v/>
      </c>
      <c r="N213" s="25">
        <f>N212+MAX(0,E213)</f>
        <v/>
      </c>
    </row>
    <row r="214">
      <c r="A214" s="22" t="n">
        <v>213</v>
      </c>
      <c r="B214" s="23">
        <f>propPrice*(1+monthlyAppn)^A214</f>
        <v/>
      </c>
      <c r="C214" s="23">
        <f>IF(A214&gt;=startRentalMonth, initRent*(1+monthlyRentInf)^(A214-1), 0)</f>
        <v/>
      </c>
      <c r="D214" s="23">
        <f>initMaint*(1+monthlyRentInf)^(A214-1)</f>
        <v/>
      </c>
      <c r="E214" s="23">
        <f>C214*(1-vacancyPct)-D214</f>
        <v/>
      </c>
      <c r="F214" s="23">
        <f>I213</f>
        <v/>
      </c>
      <c r="G214" s="23">
        <f>IF(AND(F214&gt;0, A214&lt;=loanMonths), F214*rMonthly, 0)</f>
        <v/>
      </c>
      <c r="H214" s="23">
        <f>IF(AND(F214&gt;0, A214&lt;=loanMonths), EMI, 0)</f>
        <v/>
      </c>
      <c r="I214" s="23">
        <f>IF(AND(F214&gt;0, A214&lt;=loanMonths), MAX(0, F214-MIN(EMI-G214, F214)), F214)</f>
        <v/>
      </c>
      <c r="J214" s="23">
        <f>K213</f>
        <v/>
      </c>
      <c r="K214" s="23">
        <f>J214*(1+mfMo)+H214-E214</f>
        <v/>
      </c>
      <c r="L214" s="23">
        <f>L213+E214</f>
        <v/>
      </c>
      <c r="M214" s="23">
        <f>M213+H214+MAX(0,-E214)</f>
        <v/>
      </c>
      <c r="N214" s="23">
        <f>N213+MAX(0,E214)</f>
        <v/>
      </c>
    </row>
    <row r="215">
      <c r="A215" s="24" t="n">
        <v>214</v>
      </c>
      <c r="B215" s="25">
        <f>propPrice*(1+monthlyAppn)^A215</f>
        <v/>
      </c>
      <c r="C215" s="25">
        <f>IF(A215&gt;=startRentalMonth, initRent*(1+monthlyRentInf)^(A215-1), 0)</f>
        <v/>
      </c>
      <c r="D215" s="25">
        <f>initMaint*(1+monthlyRentInf)^(A215-1)</f>
        <v/>
      </c>
      <c r="E215" s="25">
        <f>C215*(1-vacancyPct)-D215</f>
        <v/>
      </c>
      <c r="F215" s="25">
        <f>I214</f>
        <v/>
      </c>
      <c r="G215" s="25">
        <f>IF(AND(F215&gt;0, A215&lt;=loanMonths), F215*rMonthly, 0)</f>
        <v/>
      </c>
      <c r="H215" s="25">
        <f>IF(AND(F215&gt;0, A215&lt;=loanMonths), EMI, 0)</f>
        <v/>
      </c>
      <c r="I215" s="25">
        <f>IF(AND(F215&gt;0, A215&lt;=loanMonths), MAX(0, F215-MIN(EMI-G215, F215)), F215)</f>
        <v/>
      </c>
      <c r="J215" s="25">
        <f>K214</f>
        <v/>
      </c>
      <c r="K215" s="25">
        <f>J215*(1+mfMo)+H215-E215</f>
        <v/>
      </c>
      <c r="L215" s="25">
        <f>L214+E215</f>
        <v/>
      </c>
      <c r="M215" s="25">
        <f>M214+H215+MAX(0,-E215)</f>
        <v/>
      </c>
      <c r="N215" s="25">
        <f>N214+MAX(0,E215)</f>
        <v/>
      </c>
    </row>
    <row r="216">
      <c r="A216" s="22" t="n">
        <v>215</v>
      </c>
      <c r="B216" s="23">
        <f>propPrice*(1+monthlyAppn)^A216</f>
        <v/>
      </c>
      <c r="C216" s="23">
        <f>IF(A216&gt;=startRentalMonth, initRent*(1+monthlyRentInf)^(A216-1), 0)</f>
        <v/>
      </c>
      <c r="D216" s="23">
        <f>initMaint*(1+monthlyRentInf)^(A216-1)</f>
        <v/>
      </c>
      <c r="E216" s="23">
        <f>C216*(1-vacancyPct)-D216</f>
        <v/>
      </c>
      <c r="F216" s="23">
        <f>I215</f>
        <v/>
      </c>
      <c r="G216" s="23">
        <f>IF(AND(F216&gt;0, A216&lt;=loanMonths), F216*rMonthly, 0)</f>
        <v/>
      </c>
      <c r="H216" s="23">
        <f>IF(AND(F216&gt;0, A216&lt;=loanMonths), EMI, 0)</f>
        <v/>
      </c>
      <c r="I216" s="23">
        <f>IF(AND(F216&gt;0, A216&lt;=loanMonths), MAX(0, F216-MIN(EMI-G216, F216)), F216)</f>
        <v/>
      </c>
      <c r="J216" s="23">
        <f>K215</f>
        <v/>
      </c>
      <c r="K216" s="23">
        <f>J216*(1+mfMo)+H216-E216</f>
        <v/>
      </c>
      <c r="L216" s="23">
        <f>L215+E216</f>
        <v/>
      </c>
      <c r="M216" s="23">
        <f>M215+H216+MAX(0,-E216)</f>
        <v/>
      </c>
      <c r="N216" s="23">
        <f>N215+MAX(0,E216)</f>
        <v/>
      </c>
    </row>
    <row r="217">
      <c r="A217" s="24" t="n">
        <v>216</v>
      </c>
      <c r="B217" s="25">
        <f>propPrice*(1+monthlyAppn)^A217</f>
        <v/>
      </c>
      <c r="C217" s="25">
        <f>IF(A217&gt;=startRentalMonth, initRent*(1+monthlyRentInf)^(A217-1), 0)</f>
        <v/>
      </c>
      <c r="D217" s="25">
        <f>initMaint*(1+monthlyRentInf)^(A217-1)</f>
        <v/>
      </c>
      <c r="E217" s="25">
        <f>C217*(1-vacancyPct)-D217</f>
        <v/>
      </c>
      <c r="F217" s="25">
        <f>I216</f>
        <v/>
      </c>
      <c r="G217" s="25">
        <f>IF(AND(F217&gt;0, A217&lt;=loanMonths), F217*rMonthly, 0)</f>
        <v/>
      </c>
      <c r="H217" s="25">
        <f>IF(AND(F217&gt;0, A217&lt;=loanMonths), EMI, 0)</f>
        <v/>
      </c>
      <c r="I217" s="25">
        <f>IF(AND(F217&gt;0, A217&lt;=loanMonths), MAX(0, F217-MIN(EMI-G217, F217)), F217)</f>
        <v/>
      </c>
      <c r="J217" s="25">
        <f>K216</f>
        <v/>
      </c>
      <c r="K217" s="25">
        <f>J217*(1+mfMo)+H217-E217</f>
        <v/>
      </c>
      <c r="L217" s="25">
        <f>L216+E217</f>
        <v/>
      </c>
      <c r="M217" s="25">
        <f>M216+H217+MAX(0,-E217)</f>
        <v/>
      </c>
      <c r="N217" s="25">
        <f>N216+MAX(0,E217)</f>
        <v/>
      </c>
    </row>
    <row r="218">
      <c r="A218" s="22" t="n">
        <v>217</v>
      </c>
      <c r="B218" s="23">
        <f>propPrice*(1+monthlyAppn)^A218</f>
        <v/>
      </c>
      <c r="C218" s="23">
        <f>IF(A218&gt;=startRentalMonth, initRent*(1+monthlyRentInf)^(A218-1), 0)</f>
        <v/>
      </c>
      <c r="D218" s="23">
        <f>initMaint*(1+monthlyRentInf)^(A218-1)</f>
        <v/>
      </c>
      <c r="E218" s="23">
        <f>C218*(1-vacancyPct)-D218</f>
        <v/>
      </c>
      <c r="F218" s="23">
        <f>I217</f>
        <v/>
      </c>
      <c r="G218" s="23">
        <f>IF(AND(F218&gt;0, A218&lt;=loanMonths), F218*rMonthly, 0)</f>
        <v/>
      </c>
      <c r="H218" s="23">
        <f>IF(AND(F218&gt;0, A218&lt;=loanMonths), EMI, 0)</f>
        <v/>
      </c>
      <c r="I218" s="23">
        <f>IF(AND(F218&gt;0, A218&lt;=loanMonths), MAX(0, F218-MIN(EMI-G218, F218)), F218)</f>
        <v/>
      </c>
      <c r="J218" s="23">
        <f>K217</f>
        <v/>
      </c>
      <c r="K218" s="23">
        <f>J218*(1+mfMo)+H218-E218</f>
        <v/>
      </c>
      <c r="L218" s="23">
        <f>L217+E218</f>
        <v/>
      </c>
      <c r="M218" s="23">
        <f>M217+H218+MAX(0,-E218)</f>
        <v/>
      </c>
      <c r="N218" s="23">
        <f>N217+MAX(0,E218)</f>
        <v/>
      </c>
    </row>
    <row r="219">
      <c r="A219" s="24" t="n">
        <v>218</v>
      </c>
      <c r="B219" s="25">
        <f>propPrice*(1+monthlyAppn)^A219</f>
        <v/>
      </c>
      <c r="C219" s="25">
        <f>IF(A219&gt;=startRentalMonth, initRent*(1+monthlyRentInf)^(A219-1), 0)</f>
        <v/>
      </c>
      <c r="D219" s="25">
        <f>initMaint*(1+monthlyRentInf)^(A219-1)</f>
        <v/>
      </c>
      <c r="E219" s="25">
        <f>C219*(1-vacancyPct)-D219</f>
        <v/>
      </c>
      <c r="F219" s="25">
        <f>I218</f>
        <v/>
      </c>
      <c r="G219" s="25">
        <f>IF(AND(F219&gt;0, A219&lt;=loanMonths), F219*rMonthly, 0)</f>
        <v/>
      </c>
      <c r="H219" s="25">
        <f>IF(AND(F219&gt;0, A219&lt;=loanMonths), EMI, 0)</f>
        <v/>
      </c>
      <c r="I219" s="25">
        <f>IF(AND(F219&gt;0, A219&lt;=loanMonths), MAX(0, F219-MIN(EMI-G219, F219)), F219)</f>
        <v/>
      </c>
      <c r="J219" s="25">
        <f>K218</f>
        <v/>
      </c>
      <c r="K219" s="25">
        <f>J219*(1+mfMo)+H219-E219</f>
        <v/>
      </c>
      <c r="L219" s="25">
        <f>L218+E219</f>
        <v/>
      </c>
      <c r="M219" s="25">
        <f>M218+H219+MAX(0,-E219)</f>
        <v/>
      </c>
      <c r="N219" s="25">
        <f>N218+MAX(0,E219)</f>
        <v/>
      </c>
    </row>
    <row r="220">
      <c r="A220" s="22" t="n">
        <v>219</v>
      </c>
      <c r="B220" s="23">
        <f>propPrice*(1+monthlyAppn)^A220</f>
        <v/>
      </c>
      <c r="C220" s="23">
        <f>IF(A220&gt;=startRentalMonth, initRent*(1+monthlyRentInf)^(A220-1), 0)</f>
        <v/>
      </c>
      <c r="D220" s="23">
        <f>initMaint*(1+monthlyRentInf)^(A220-1)</f>
        <v/>
      </c>
      <c r="E220" s="23">
        <f>C220*(1-vacancyPct)-D220</f>
        <v/>
      </c>
      <c r="F220" s="23">
        <f>I219</f>
        <v/>
      </c>
      <c r="G220" s="23">
        <f>IF(AND(F220&gt;0, A220&lt;=loanMonths), F220*rMonthly, 0)</f>
        <v/>
      </c>
      <c r="H220" s="23">
        <f>IF(AND(F220&gt;0, A220&lt;=loanMonths), EMI, 0)</f>
        <v/>
      </c>
      <c r="I220" s="23">
        <f>IF(AND(F220&gt;0, A220&lt;=loanMonths), MAX(0, F220-MIN(EMI-G220, F220)), F220)</f>
        <v/>
      </c>
      <c r="J220" s="23">
        <f>K219</f>
        <v/>
      </c>
      <c r="K220" s="23">
        <f>J220*(1+mfMo)+H220-E220</f>
        <v/>
      </c>
      <c r="L220" s="23">
        <f>L219+E220</f>
        <v/>
      </c>
      <c r="M220" s="23">
        <f>M219+H220+MAX(0,-E220)</f>
        <v/>
      </c>
      <c r="N220" s="23">
        <f>N219+MAX(0,E220)</f>
        <v/>
      </c>
    </row>
    <row r="221">
      <c r="A221" s="24" t="n">
        <v>220</v>
      </c>
      <c r="B221" s="25">
        <f>propPrice*(1+monthlyAppn)^A221</f>
        <v/>
      </c>
      <c r="C221" s="25">
        <f>IF(A221&gt;=startRentalMonth, initRent*(1+monthlyRentInf)^(A221-1), 0)</f>
        <v/>
      </c>
      <c r="D221" s="25">
        <f>initMaint*(1+monthlyRentInf)^(A221-1)</f>
        <v/>
      </c>
      <c r="E221" s="25">
        <f>C221*(1-vacancyPct)-D221</f>
        <v/>
      </c>
      <c r="F221" s="25">
        <f>I220</f>
        <v/>
      </c>
      <c r="G221" s="25">
        <f>IF(AND(F221&gt;0, A221&lt;=loanMonths), F221*rMonthly, 0)</f>
        <v/>
      </c>
      <c r="H221" s="25">
        <f>IF(AND(F221&gt;0, A221&lt;=loanMonths), EMI, 0)</f>
        <v/>
      </c>
      <c r="I221" s="25">
        <f>IF(AND(F221&gt;0, A221&lt;=loanMonths), MAX(0, F221-MIN(EMI-G221, F221)), F221)</f>
        <v/>
      </c>
      <c r="J221" s="25">
        <f>K220</f>
        <v/>
      </c>
      <c r="K221" s="25">
        <f>J221*(1+mfMo)+H221-E221</f>
        <v/>
      </c>
      <c r="L221" s="25">
        <f>L220+E221</f>
        <v/>
      </c>
      <c r="M221" s="25">
        <f>M220+H221+MAX(0,-E221)</f>
        <v/>
      </c>
      <c r="N221" s="25">
        <f>N220+MAX(0,E221)</f>
        <v/>
      </c>
    </row>
    <row r="222">
      <c r="A222" s="22" t="n">
        <v>221</v>
      </c>
      <c r="B222" s="23">
        <f>propPrice*(1+monthlyAppn)^A222</f>
        <v/>
      </c>
      <c r="C222" s="23">
        <f>IF(A222&gt;=startRentalMonth, initRent*(1+monthlyRentInf)^(A222-1), 0)</f>
        <v/>
      </c>
      <c r="D222" s="23">
        <f>initMaint*(1+monthlyRentInf)^(A222-1)</f>
        <v/>
      </c>
      <c r="E222" s="23">
        <f>C222*(1-vacancyPct)-D222</f>
        <v/>
      </c>
      <c r="F222" s="23">
        <f>I221</f>
        <v/>
      </c>
      <c r="G222" s="23">
        <f>IF(AND(F222&gt;0, A222&lt;=loanMonths), F222*rMonthly, 0)</f>
        <v/>
      </c>
      <c r="H222" s="23">
        <f>IF(AND(F222&gt;0, A222&lt;=loanMonths), EMI, 0)</f>
        <v/>
      </c>
      <c r="I222" s="23">
        <f>IF(AND(F222&gt;0, A222&lt;=loanMonths), MAX(0, F222-MIN(EMI-G222, F222)), F222)</f>
        <v/>
      </c>
      <c r="J222" s="23">
        <f>K221</f>
        <v/>
      </c>
      <c r="K222" s="23">
        <f>J222*(1+mfMo)+H222-E222</f>
        <v/>
      </c>
      <c r="L222" s="23">
        <f>L221+E222</f>
        <v/>
      </c>
      <c r="M222" s="23">
        <f>M221+H222+MAX(0,-E222)</f>
        <v/>
      </c>
      <c r="N222" s="23">
        <f>N221+MAX(0,E222)</f>
        <v/>
      </c>
    </row>
    <row r="223">
      <c r="A223" s="24" t="n">
        <v>222</v>
      </c>
      <c r="B223" s="25">
        <f>propPrice*(1+monthlyAppn)^A223</f>
        <v/>
      </c>
      <c r="C223" s="25">
        <f>IF(A223&gt;=startRentalMonth, initRent*(1+monthlyRentInf)^(A223-1), 0)</f>
        <v/>
      </c>
      <c r="D223" s="25">
        <f>initMaint*(1+monthlyRentInf)^(A223-1)</f>
        <v/>
      </c>
      <c r="E223" s="25">
        <f>C223*(1-vacancyPct)-D223</f>
        <v/>
      </c>
      <c r="F223" s="25">
        <f>I222</f>
        <v/>
      </c>
      <c r="G223" s="25">
        <f>IF(AND(F223&gt;0, A223&lt;=loanMonths), F223*rMonthly, 0)</f>
        <v/>
      </c>
      <c r="H223" s="25">
        <f>IF(AND(F223&gt;0, A223&lt;=loanMonths), EMI, 0)</f>
        <v/>
      </c>
      <c r="I223" s="25">
        <f>IF(AND(F223&gt;0, A223&lt;=loanMonths), MAX(0, F223-MIN(EMI-G223, F223)), F223)</f>
        <v/>
      </c>
      <c r="J223" s="25">
        <f>K222</f>
        <v/>
      </c>
      <c r="K223" s="25">
        <f>J223*(1+mfMo)+H223-E223</f>
        <v/>
      </c>
      <c r="L223" s="25">
        <f>L222+E223</f>
        <v/>
      </c>
      <c r="M223" s="25">
        <f>M222+H223+MAX(0,-E223)</f>
        <v/>
      </c>
      <c r="N223" s="25">
        <f>N222+MAX(0,E223)</f>
        <v/>
      </c>
    </row>
    <row r="224">
      <c r="A224" s="22" t="n">
        <v>223</v>
      </c>
      <c r="B224" s="23">
        <f>propPrice*(1+monthlyAppn)^A224</f>
        <v/>
      </c>
      <c r="C224" s="23">
        <f>IF(A224&gt;=startRentalMonth, initRent*(1+monthlyRentInf)^(A224-1), 0)</f>
        <v/>
      </c>
      <c r="D224" s="23">
        <f>initMaint*(1+monthlyRentInf)^(A224-1)</f>
        <v/>
      </c>
      <c r="E224" s="23">
        <f>C224*(1-vacancyPct)-D224</f>
        <v/>
      </c>
      <c r="F224" s="23">
        <f>I223</f>
        <v/>
      </c>
      <c r="G224" s="23">
        <f>IF(AND(F224&gt;0, A224&lt;=loanMonths), F224*rMonthly, 0)</f>
        <v/>
      </c>
      <c r="H224" s="23">
        <f>IF(AND(F224&gt;0, A224&lt;=loanMonths), EMI, 0)</f>
        <v/>
      </c>
      <c r="I224" s="23">
        <f>IF(AND(F224&gt;0, A224&lt;=loanMonths), MAX(0, F224-MIN(EMI-G224, F224)), F224)</f>
        <v/>
      </c>
      <c r="J224" s="23">
        <f>K223</f>
        <v/>
      </c>
      <c r="K224" s="23">
        <f>J224*(1+mfMo)+H224-E224</f>
        <v/>
      </c>
      <c r="L224" s="23">
        <f>L223+E224</f>
        <v/>
      </c>
      <c r="M224" s="23">
        <f>M223+H224+MAX(0,-E224)</f>
        <v/>
      </c>
      <c r="N224" s="23">
        <f>N223+MAX(0,E224)</f>
        <v/>
      </c>
    </row>
    <row r="225">
      <c r="A225" s="24" t="n">
        <v>224</v>
      </c>
      <c r="B225" s="25">
        <f>propPrice*(1+monthlyAppn)^A225</f>
        <v/>
      </c>
      <c r="C225" s="25">
        <f>IF(A225&gt;=startRentalMonth, initRent*(1+monthlyRentInf)^(A225-1), 0)</f>
        <v/>
      </c>
      <c r="D225" s="25">
        <f>initMaint*(1+monthlyRentInf)^(A225-1)</f>
        <v/>
      </c>
      <c r="E225" s="25">
        <f>C225*(1-vacancyPct)-D225</f>
        <v/>
      </c>
      <c r="F225" s="25">
        <f>I224</f>
        <v/>
      </c>
      <c r="G225" s="25">
        <f>IF(AND(F225&gt;0, A225&lt;=loanMonths), F225*rMonthly, 0)</f>
        <v/>
      </c>
      <c r="H225" s="25">
        <f>IF(AND(F225&gt;0, A225&lt;=loanMonths), EMI, 0)</f>
        <v/>
      </c>
      <c r="I225" s="25">
        <f>IF(AND(F225&gt;0, A225&lt;=loanMonths), MAX(0, F225-MIN(EMI-G225, F225)), F225)</f>
        <v/>
      </c>
      <c r="J225" s="25">
        <f>K224</f>
        <v/>
      </c>
      <c r="K225" s="25">
        <f>J225*(1+mfMo)+H225-E225</f>
        <v/>
      </c>
      <c r="L225" s="25">
        <f>L224+E225</f>
        <v/>
      </c>
      <c r="M225" s="25">
        <f>M224+H225+MAX(0,-E225)</f>
        <v/>
      </c>
      <c r="N225" s="25">
        <f>N224+MAX(0,E225)</f>
        <v/>
      </c>
    </row>
    <row r="226">
      <c r="A226" s="22" t="n">
        <v>225</v>
      </c>
      <c r="B226" s="23">
        <f>propPrice*(1+monthlyAppn)^A226</f>
        <v/>
      </c>
      <c r="C226" s="23">
        <f>IF(A226&gt;=startRentalMonth, initRent*(1+monthlyRentInf)^(A226-1), 0)</f>
        <v/>
      </c>
      <c r="D226" s="23">
        <f>initMaint*(1+monthlyRentInf)^(A226-1)</f>
        <v/>
      </c>
      <c r="E226" s="23">
        <f>C226*(1-vacancyPct)-D226</f>
        <v/>
      </c>
      <c r="F226" s="23">
        <f>I225</f>
        <v/>
      </c>
      <c r="G226" s="23">
        <f>IF(AND(F226&gt;0, A226&lt;=loanMonths), F226*rMonthly, 0)</f>
        <v/>
      </c>
      <c r="H226" s="23">
        <f>IF(AND(F226&gt;0, A226&lt;=loanMonths), EMI, 0)</f>
        <v/>
      </c>
      <c r="I226" s="23">
        <f>IF(AND(F226&gt;0, A226&lt;=loanMonths), MAX(0, F226-MIN(EMI-G226, F226)), F226)</f>
        <v/>
      </c>
      <c r="J226" s="23">
        <f>K225</f>
        <v/>
      </c>
      <c r="K226" s="23">
        <f>J226*(1+mfMo)+H226-E226</f>
        <v/>
      </c>
      <c r="L226" s="23">
        <f>L225+E226</f>
        <v/>
      </c>
      <c r="M226" s="23">
        <f>M225+H226+MAX(0,-E226)</f>
        <v/>
      </c>
      <c r="N226" s="23">
        <f>N225+MAX(0,E226)</f>
        <v/>
      </c>
    </row>
    <row r="227">
      <c r="A227" s="24" t="n">
        <v>226</v>
      </c>
      <c r="B227" s="25">
        <f>propPrice*(1+monthlyAppn)^A227</f>
        <v/>
      </c>
      <c r="C227" s="25">
        <f>IF(A227&gt;=startRentalMonth, initRent*(1+monthlyRentInf)^(A227-1), 0)</f>
        <v/>
      </c>
      <c r="D227" s="25">
        <f>initMaint*(1+monthlyRentInf)^(A227-1)</f>
        <v/>
      </c>
      <c r="E227" s="25">
        <f>C227*(1-vacancyPct)-D227</f>
        <v/>
      </c>
      <c r="F227" s="25">
        <f>I226</f>
        <v/>
      </c>
      <c r="G227" s="25">
        <f>IF(AND(F227&gt;0, A227&lt;=loanMonths), F227*rMonthly, 0)</f>
        <v/>
      </c>
      <c r="H227" s="25">
        <f>IF(AND(F227&gt;0, A227&lt;=loanMonths), EMI, 0)</f>
        <v/>
      </c>
      <c r="I227" s="25">
        <f>IF(AND(F227&gt;0, A227&lt;=loanMonths), MAX(0, F227-MIN(EMI-G227, F227)), F227)</f>
        <v/>
      </c>
      <c r="J227" s="25">
        <f>K226</f>
        <v/>
      </c>
      <c r="K227" s="25">
        <f>J227*(1+mfMo)+H227-E227</f>
        <v/>
      </c>
      <c r="L227" s="25">
        <f>L226+E227</f>
        <v/>
      </c>
      <c r="M227" s="25">
        <f>M226+H227+MAX(0,-E227)</f>
        <v/>
      </c>
      <c r="N227" s="25">
        <f>N226+MAX(0,E227)</f>
        <v/>
      </c>
    </row>
    <row r="228">
      <c r="A228" s="22" t="n">
        <v>227</v>
      </c>
      <c r="B228" s="23">
        <f>propPrice*(1+monthlyAppn)^A228</f>
        <v/>
      </c>
      <c r="C228" s="23">
        <f>IF(A228&gt;=startRentalMonth, initRent*(1+monthlyRentInf)^(A228-1), 0)</f>
        <v/>
      </c>
      <c r="D228" s="23">
        <f>initMaint*(1+monthlyRentInf)^(A228-1)</f>
        <v/>
      </c>
      <c r="E228" s="23">
        <f>C228*(1-vacancyPct)-D228</f>
        <v/>
      </c>
      <c r="F228" s="23">
        <f>I227</f>
        <v/>
      </c>
      <c r="G228" s="23">
        <f>IF(AND(F228&gt;0, A228&lt;=loanMonths), F228*rMonthly, 0)</f>
        <v/>
      </c>
      <c r="H228" s="23">
        <f>IF(AND(F228&gt;0, A228&lt;=loanMonths), EMI, 0)</f>
        <v/>
      </c>
      <c r="I228" s="23">
        <f>IF(AND(F228&gt;0, A228&lt;=loanMonths), MAX(0, F228-MIN(EMI-G228, F228)), F228)</f>
        <v/>
      </c>
      <c r="J228" s="23">
        <f>K227</f>
        <v/>
      </c>
      <c r="K228" s="23">
        <f>J228*(1+mfMo)+H228-E228</f>
        <v/>
      </c>
      <c r="L228" s="23">
        <f>L227+E228</f>
        <v/>
      </c>
      <c r="M228" s="23">
        <f>M227+H228+MAX(0,-E228)</f>
        <v/>
      </c>
      <c r="N228" s="23">
        <f>N227+MAX(0,E228)</f>
        <v/>
      </c>
    </row>
    <row r="229">
      <c r="A229" s="24" t="n">
        <v>228</v>
      </c>
      <c r="B229" s="25">
        <f>propPrice*(1+monthlyAppn)^A229</f>
        <v/>
      </c>
      <c r="C229" s="25">
        <f>IF(A229&gt;=startRentalMonth, initRent*(1+monthlyRentInf)^(A229-1), 0)</f>
        <v/>
      </c>
      <c r="D229" s="25">
        <f>initMaint*(1+monthlyRentInf)^(A229-1)</f>
        <v/>
      </c>
      <c r="E229" s="25">
        <f>C229*(1-vacancyPct)-D229</f>
        <v/>
      </c>
      <c r="F229" s="25">
        <f>I228</f>
        <v/>
      </c>
      <c r="G229" s="25">
        <f>IF(AND(F229&gt;0, A229&lt;=loanMonths), F229*rMonthly, 0)</f>
        <v/>
      </c>
      <c r="H229" s="25">
        <f>IF(AND(F229&gt;0, A229&lt;=loanMonths), EMI, 0)</f>
        <v/>
      </c>
      <c r="I229" s="25">
        <f>IF(AND(F229&gt;0, A229&lt;=loanMonths), MAX(0, F229-MIN(EMI-G229, F229)), F229)</f>
        <v/>
      </c>
      <c r="J229" s="25">
        <f>K228</f>
        <v/>
      </c>
      <c r="K229" s="25">
        <f>J229*(1+mfMo)+H229-E229</f>
        <v/>
      </c>
      <c r="L229" s="25">
        <f>L228+E229</f>
        <v/>
      </c>
      <c r="M229" s="25">
        <f>M228+H229+MAX(0,-E229)</f>
        <v/>
      </c>
      <c r="N229" s="25">
        <f>N228+MAX(0,E229)</f>
        <v/>
      </c>
    </row>
    <row r="230">
      <c r="A230" s="22" t="n">
        <v>229</v>
      </c>
      <c r="B230" s="23">
        <f>propPrice*(1+monthlyAppn)^A230</f>
        <v/>
      </c>
      <c r="C230" s="23">
        <f>IF(A230&gt;=startRentalMonth, initRent*(1+monthlyRentInf)^(A230-1), 0)</f>
        <v/>
      </c>
      <c r="D230" s="23">
        <f>initMaint*(1+monthlyRentInf)^(A230-1)</f>
        <v/>
      </c>
      <c r="E230" s="23">
        <f>C230*(1-vacancyPct)-D230</f>
        <v/>
      </c>
      <c r="F230" s="23">
        <f>I229</f>
        <v/>
      </c>
      <c r="G230" s="23">
        <f>IF(AND(F230&gt;0, A230&lt;=loanMonths), F230*rMonthly, 0)</f>
        <v/>
      </c>
      <c r="H230" s="23">
        <f>IF(AND(F230&gt;0, A230&lt;=loanMonths), EMI, 0)</f>
        <v/>
      </c>
      <c r="I230" s="23">
        <f>IF(AND(F230&gt;0, A230&lt;=loanMonths), MAX(0, F230-MIN(EMI-G230, F230)), F230)</f>
        <v/>
      </c>
      <c r="J230" s="23">
        <f>K229</f>
        <v/>
      </c>
      <c r="K230" s="23">
        <f>J230*(1+mfMo)+H230-E230</f>
        <v/>
      </c>
      <c r="L230" s="23">
        <f>L229+E230</f>
        <v/>
      </c>
      <c r="M230" s="23">
        <f>M229+H230+MAX(0,-E230)</f>
        <v/>
      </c>
      <c r="N230" s="23">
        <f>N229+MAX(0,E230)</f>
        <v/>
      </c>
    </row>
    <row r="231">
      <c r="A231" s="24" t="n">
        <v>230</v>
      </c>
      <c r="B231" s="25">
        <f>propPrice*(1+monthlyAppn)^A231</f>
        <v/>
      </c>
      <c r="C231" s="25">
        <f>IF(A231&gt;=startRentalMonth, initRent*(1+monthlyRentInf)^(A231-1), 0)</f>
        <v/>
      </c>
      <c r="D231" s="25">
        <f>initMaint*(1+monthlyRentInf)^(A231-1)</f>
        <v/>
      </c>
      <c r="E231" s="25">
        <f>C231*(1-vacancyPct)-D231</f>
        <v/>
      </c>
      <c r="F231" s="25">
        <f>I230</f>
        <v/>
      </c>
      <c r="G231" s="25">
        <f>IF(AND(F231&gt;0, A231&lt;=loanMonths), F231*rMonthly, 0)</f>
        <v/>
      </c>
      <c r="H231" s="25">
        <f>IF(AND(F231&gt;0, A231&lt;=loanMonths), EMI, 0)</f>
        <v/>
      </c>
      <c r="I231" s="25">
        <f>IF(AND(F231&gt;0, A231&lt;=loanMonths), MAX(0, F231-MIN(EMI-G231, F231)), F231)</f>
        <v/>
      </c>
      <c r="J231" s="25">
        <f>K230</f>
        <v/>
      </c>
      <c r="K231" s="25">
        <f>J231*(1+mfMo)+H231-E231</f>
        <v/>
      </c>
      <c r="L231" s="25">
        <f>L230+E231</f>
        <v/>
      </c>
      <c r="M231" s="25">
        <f>M230+H231+MAX(0,-E231)</f>
        <v/>
      </c>
      <c r="N231" s="25">
        <f>N230+MAX(0,E231)</f>
        <v/>
      </c>
    </row>
    <row r="232">
      <c r="A232" s="22" t="n">
        <v>231</v>
      </c>
      <c r="B232" s="23">
        <f>propPrice*(1+monthlyAppn)^A232</f>
        <v/>
      </c>
      <c r="C232" s="23">
        <f>IF(A232&gt;=startRentalMonth, initRent*(1+monthlyRentInf)^(A232-1), 0)</f>
        <v/>
      </c>
      <c r="D232" s="23">
        <f>initMaint*(1+monthlyRentInf)^(A232-1)</f>
        <v/>
      </c>
      <c r="E232" s="23">
        <f>C232*(1-vacancyPct)-D232</f>
        <v/>
      </c>
      <c r="F232" s="23">
        <f>I231</f>
        <v/>
      </c>
      <c r="G232" s="23">
        <f>IF(AND(F232&gt;0, A232&lt;=loanMonths), F232*rMonthly, 0)</f>
        <v/>
      </c>
      <c r="H232" s="23">
        <f>IF(AND(F232&gt;0, A232&lt;=loanMonths), EMI, 0)</f>
        <v/>
      </c>
      <c r="I232" s="23">
        <f>IF(AND(F232&gt;0, A232&lt;=loanMonths), MAX(0, F232-MIN(EMI-G232, F232)), F232)</f>
        <v/>
      </c>
      <c r="J232" s="23">
        <f>K231</f>
        <v/>
      </c>
      <c r="K232" s="23">
        <f>J232*(1+mfMo)+H232-E232</f>
        <v/>
      </c>
      <c r="L232" s="23">
        <f>L231+E232</f>
        <v/>
      </c>
      <c r="M232" s="23">
        <f>M231+H232+MAX(0,-E232)</f>
        <v/>
      </c>
      <c r="N232" s="23">
        <f>N231+MAX(0,E232)</f>
        <v/>
      </c>
    </row>
    <row r="233">
      <c r="A233" s="24" t="n">
        <v>232</v>
      </c>
      <c r="B233" s="25">
        <f>propPrice*(1+monthlyAppn)^A233</f>
        <v/>
      </c>
      <c r="C233" s="25">
        <f>IF(A233&gt;=startRentalMonth, initRent*(1+monthlyRentInf)^(A233-1), 0)</f>
        <v/>
      </c>
      <c r="D233" s="25">
        <f>initMaint*(1+monthlyRentInf)^(A233-1)</f>
        <v/>
      </c>
      <c r="E233" s="25">
        <f>C233*(1-vacancyPct)-D233</f>
        <v/>
      </c>
      <c r="F233" s="25">
        <f>I232</f>
        <v/>
      </c>
      <c r="G233" s="25">
        <f>IF(AND(F233&gt;0, A233&lt;=loanMonths), F233*rMonthly, 0)</f>
        <v/>
      </c>
      <c r="H233" s="25">
        <f>IF(AND(F233&gt;0, A233&lt;=loanMonths), EMI, 0)</f>
        <v/>
      </c>
      <c r="I233" s="25">
        <f>IF(AND(F233&gt;0, A233&lt;=loanMonths), MAX(0, F233-MIN(EMI-G233, F233)), F233)</f>
        <v/>
      </c>
      <c r="J233" s="25">
        <f>K232</f>
        <v/>
      </c>
      <c r="K233" s="25">
        <f>J233*(1+mfMo)+H233-E233</f>
        <v/>
      </c>
      <c r="L233" s="25">
        <f>L232+E233</f>
        <v/>
      </c>
      <c r="M233" s="25">
        <f>M232+H233+MAX(0,-E233)</f>
        <v/>
      </c>
      <c r="N233" s="25">
        <f>N232+MAX(0,E233)</f>
        <v/>
      </c>
    </row>
    <row r="234">
      <c r="A234" s="22" t="n">
        <v>233</v>
      </c>
      <c r="B234" s="23">
        <f>propPrice*(1+monthlyAppn)^A234</f>
        <v/>
      </c>
      <c r="C234" s="23">
        <f>IF(A234&gt;=startRentalMonth, initRent*(1+monthlyRentInf)^(A234-1), 0)</f>
        <v/>
      </c>
      <c r="D234" s="23">
        <f>initMaint*(1+monthlyRentInf)^(A234-1)</f>
        <v/>
      </c>
      <c r="E234" s="23">
        <f>C234*(1-vacancyPct)-D234</f>
        <v/>
      </c>
      <c r="F234" s="23">
        <f>I233</f>
        <v/>
      </c>
      <c r="G234" s="23">
        <f>IF(AND(F234&gt;0, A234&lt;=loanMonths), F234*rMonthly, 0)</f>
        <v/>
      </c>
      <c r="H234" s="23">
        <f>IF(AND(F234&gt;0, A234&lt;=loanMonths), EMI, 0)</f>
        <v/>
      </c>
      <c r="I234" s="23">
        <f>IF(AND(F234&gt;0, A234&lt;=loanMonths), MAX(0, F234-MIN(EMI-G234, F234)), F234)</f>
        <v/>
      </c>
      <c r="J234" s="23">
        <f>K233</f>
        <v/>
      </c>
      <c r="K234" s="23">
        <f>J234*(1+mfMo)+H234-E234</f>
        <v/>
      </c>
      <c r="L234" s="23">
        <f>L233+E234</f>
        <v/>
      </c>
      <c r="M234" s="23">
        <f>M233+H234+MAX(0,-E234)</f>
        <v/>
      </c>
      <c r="N234" s="23">
        <f>N233+MAX(0,E234)</f>
        <v/>
      </c>
    </row>
    <row r="235">
      <c r="A235" s="24" t="n">
        <v>234</v>
      </c>
      <c r="B235" s="25">
        <f>propPrice*(1+monthlyAppn)^A235</f>
        <v/>
      </c>
      <c r="C235" s="25">
        <f>IF(A235&gt;=startRentalMonth, initRent*(1+monthlyRentInf)^(A235-1), 0)</f>
        <v/>
      </c>
      <c r="D235" s="25">
        <f>initMaint*(1+monthlyRentInf)^(A235-1)</f>
        <v/>
      </c>
      <c r="E235" s="25">
        <f>C235*(1-vacancyPct)-D235</f>
        <v/>
      </c>
      <c r="F235" s="25">
        <f>I234</f>
        <v/>
      </c>
      <c r="G235" s="25">
        <f>IF(AND(F235&gt;0, A235&lt;=loanMonths), F235*rMonthly, 0)</f>
        <v/>
      </c>
      <c r="H235" s="25">
        <f>IF(AND(F235&gt;0, A235&lt;=loanMonths), EMI, 0)</f>
        <v/>
      </c>
      <c r="I235" s="25">
        <f>IF(AND(F235&gt;0, A235&lt;=loanMonths), MAX(0, F235-MIN(EMI-G235, F235)), F235)</f>
        <v/>
      </c>
      <c r="J235" s="25">
        <f>K234</f>
        <v/>
      </c>
      <c r="K235" s="25">
        <f>J235*(1+mfMo)+H235-E235</f>
        <v/>
      </c>
      <c r="L235" s="25">
        <f>L234+E235</f>
        <v/>
      </c>
      <c r="M235" s="25">
        <f>M234+H235+MAX(0,-E235)</f>
        <v/>
      </c>
      <c r="N235" s="25">
        <f>N234+MAX(0,E235)</f>
        <v/>
      </c>
    </row>
    <row r="236">
      <c r="A236" s="22" t="n">
        <v>235</v>
      </c>
      <c r="B236" s="23">
        <f>propPrice*(1+monthlyAppn)^A236</f>
        <v/>
      </c>
      <c r="C236" s="23">
        <f>IF(A236&gt;=startRentalMonth, initRent*(1+monthlyRentInf)^(A236-1), 0)</f>
        <v/>
      </c>
      <c r="D236" s="23">
        <f>initMaint*(1+monthlyRentInf)^(A236-1)</f>
        <v/>
      </c>
      <c r="E236" s="23">
        <f>C236*(1-vacancyPct)-D236</f>
        <v/>
      </c>
      <c r="F236" s="23">
        <f>I235</f>
        <v/>
      </c>
      <c r="G236" s="23">
        <f>IF(AND(F236&gt;0, A236&lt;=loanMonths), F236*rMonthly, 0)</f>
        <v/>
      </c>
      <c r="H236" s="23">
        <f>IF(AND(F236&gt;0, A236&lt;=loanMonths), EMI, 0)</f>
        <v/>
      </c>
      <c r="I236" s="23">
        <f>IF(AND(F236&gt;0, A236&lt;=loanMonths), MAX(0, F236-MIN(EMI-G236, F236)), F236)</f>
        <v/>
      </c>
      <c r="J236" s="23">
        <f>K235</f>
        <v/>
      </c>
      <c r="K236" s="23">
        <f>J236*(1+mfMo)+H236-E236</f>
        <v/>
      </c>
      <c r="L236" s="23">
        <f>L235+E236</f>
        <v/>
      </c>
      <c r="M236" s="23">
        <f>M235+H236+MAX(0,-E236)</f>
        <v/>
      </c>
      <c r="N236" s="23">
        <f>N235+MAX(0,E236)</f>
        <v/>
      </c>
    </row>
    <row r="237">
      <c r="A237" s="24" t="n">
        <v>236</v>
      </c>
      <c r="B237" s="25">
        <f>propPrice*(1+monthlyAppn)^A237</f>
        <v/>
      </c>
      <c r="C237" s="25">
        <f>IF(A237&gt;=startRentalMonth, initRent*(1+monthlyRentInf)^(A237-1), 0)</f>
        <v/>
      </c>
      <c r="D237" s="25">
        <f>initMaint*(1+monthlyRentInf)^(A237-1)</f>
        <v/>
      </c>
      <c r="E237" s="25">
        <f>C237*(1-vacancyPct)-D237</f>
        <v/>
      </c>
      <c r="F237" s="25">
        <f>I236</f>
        <v/>
      </c>
      <c r="G237" s="25">
        <f>IF(AND(F237&gt;0, A237&lt;=loanMonths), F237*rMonthly, 0)</f>
        <v/>
      </c>
      <c r="H237" s="25">
        <f>IF(AND(F237&gt;0, A237&lt;=loanMonths), EMI, 0)</f>
        <v/>
      </c>
      <c r="I237" s="25">
        <f>IF(AND(F237&gt;0, A237&lt;=loanMonths), MAX(0, F237-MIN(EMI-G237, F237)), F237)</f>
        <v/>
      </c>
      <c r="J237" s="25">
        <f>K236</f>
        <v/>
      </c>
      <c r="K237" s="25">
        <f>J237*(1+mfMo)+H237-E237</f>
        <v/>
      </c>
      <c r="L237" s="25">
        <f>L236+E237</f>
        <v/>
      </c>
      <c r="M237" s="25">
        <f>M236+H237+MAX(0,-E237)</f>
        <v/>
      </c>
      <c r="N237" s="25">
        <f>N236+MAX(0,E237)</f>
        <v/>
      </c>
    </row>
    <row r="238">
      <c r="A238" s="22" t="n">
        <v>237</v>
      </c>
      <c r="B238" s="23">
        <f>propPrice*(1+monthlyAppn)^A238</f>
        <v/>
      </c>
      <c r="C238" s="23">
        <f>IF(A238&gt;=startRentalMonth, initRent*(1+monthlyRentInf)^(A238-1), 0)</f>
        <v/>
      </c>
      <c r="D238" s="23">
        <f>initMaint*(1+monthlyRentInf)^(A238-1)</f>
        <v/>
      </c>
      <c r="E238" s="23">
        <f>C238*(1-vacancyPct)-D238</f>
        <v/>
      </c>
      <c r="F238" s="23">
        <f>I237</f>
        <v/>
      </c>
      <c r="G238" s="23">
        <f>IF(AND(F238&gt;0, A238&lt;=loanMonths), F238*rMonthly, 0)</f>
        <v/>
      </c>
      <c r="H238" s="23">
        <f>IF(AND(F238&gt;0, A238&lt;=loanMonths), EMI, 0)</f>
        <v/>
      </c>
      <c r="I238" s="23">
        <f>IF(AND(F238&gt;0, A238&lt;=loanMonths), MAX(0, F238-MIN(EMI-G238, F238)), F238)</f>
        <v/>
      </c>
      <c r="J238" s="23">
        <f>K237</f>
        <v/>
      </c>
      <c r="K238" s="23">
        <f>J238*(1+mfMo)+H238-E238</f>
        <v/>
      </c>
      <c r="L238" s="23">
        <f>L237+E238</f>
        <v/>
      </c>
      <c r="M238" s="23">
        <f>M237+H238+MAX(0,-E238)</f>
        <v/>
      </c>
      <c r="N238" s="23">
        <f>N237+MAX(0,E238)</f>
        <v/>
      </c>
    </row>
    <row r="239">
      <c r="A239" s="24" t="n">
        <v>238</v>
      </c>
      <c r="B239" s="25">
        <f>propPrice*(1+monthlyAppn)^A239</f>
        <v/>
      </c>
      <c r="C239" s="25">
        <f>IF(A239&gt;=startRentalMonth, initRent*(1+monthlyRentInf)^(A239-1), 0)</f>
        <v/>
      </c>
      <c r="D239" s="25">
        <f>initMaint*(1+monthlyRentInf)^(A239-1)</f>
        <v/>
      </c>
      <c r="E239" s="25">
        <f>C239*(1-vacancyPct)-D239</f>
        <v/>
      </c>
      <c r="F239" s="25">
        <f>I238</f>
        <v/>
      </c>
      <c r="G239" s="25">
        <f>IF(AND(F239&gt;0, A239&lt;=loanMonths), F239*rMonthly, 0)</f>
        <v/>
      </c>
      <c r="H239" s="25">
        <f>IF(AND(F239&gt;0, A239&lt;=loanMonths), EMI, 0)</f>
        <v/>
      </c>
      <c r="I239" s="25">
        <f>IF(AND(F239&gt;0, A239&lt;=loanMonths), MAX(0, F239-MIN(EMI-G239, F239)), F239)</f>
        <v/>
      </c>
      <c r="J239" s="25">
        <f>K238</f>
        <v/>
      </c>
      <c r="K239" s="25">
        <f>J239*(1+mfMo)+H239-E239</f>
        <v/>
      </c>
      <c r="L239" s="25">
        <f>L238+E239</f>
        <v/>
      </c>
      <c r="M239" s="25">
        <f>M238+H239+MAX(0,-E239)</f>
        <v/>
      </c>
      <c r="N239" s="25">
        <f>N238+MAX(0,E239)</f>
        <v/>
      </c>
    </row>
    <row r="240">
      <c r="A240" s="22" t="n">
        <v>239</v>
      </c>
      <c r="B240" s="23">
        <f>propPrice*(1+monthlyAppn)^A240</f>
        <v/>
      </c>
      <c r="C240" s="23">
        <f>IF(A240&gt;=startRentalMonth, initRent*(1+monthlyRentInf)^(A240-1), 0)</f>
        <v/>
      </c>
      <c r="D240" s="23">
        <f>initMaint*(1+monthlyRentInf)^(A240-1)</f>
        <v/>
      </c>
      <c r="E240" s="23">
        <f>C240*(1-vacancyPct)-D240</f>
        <v/>
      </c>
      <c r="F240" s="23">
        <f>I239</f>
        <v/>
      </c>
      <c r="G240" s="23">
        <f>IF(AND(F240&gt;0, A240&lt;=loanMonths), F240*rMonthly, 0)</f>
        <v/>
      </c>
      <c r="H240" s="23">
        <f>IF(AND(F240&gt;0, A240&lt;=loanMonths), EMI, 0)</f>
        <v/>
      </c>
      <c r="I240" s="23">
        <f>IF(AND(F240&gt;0, A240&lt;=loanMonths), MAX(0, F240-MIN(EMI-G240, F240)), F240)</f>
        <v/>
      </c>
      <c r="J240" s="23">
        <f>K239</f>
        <v/>
      </c>
      <c r="K240" s="23">
        <f>J240*(1+mfMo)+H240-E240</f>
        <v/>
      </c>
      <c r="L240" s="23">
        <f>L239+E240</f>
        <v/>
      </c>
      <c r="M240" s="23">
        <f>M239+H240+MAX(0,-E240)</f>
        <v/>
      </c>
      <c r="N240" s="23">
        <f>N239+MAX(0,E240)</f>
        <v/>
      </c>
    </row>
    <row r="241">
      <c r="A241" s="24" t="n">
        <v>240</v>
      </c>
      <c r="B241" s="25">
        <f>propPrice*(1+monthlyAppn)^A241</f>
        <v/>
      </c>
      <c r="C241" s="25">
        <f>IF(A241&gt;=startRentalMonth, initRent*(1+monthlyRentInf)^(A241-1), 0)</f>
        <v/>
      </c>
      <c r="D241" s="25">
        <f>initMaint*(1+monthlyRentInf)^(A241-1)</f>
        <v/>
      </c>
      <c r="E241" s="25">
        <f>C241*(1-vacancyPct)-D241</f>
        <v/>
      </c>
      <c r="F241" s="25">
        <f>I240</f>
        <v/>
      </c>
      <c r="G241" s="25">
        <f>IF(AND(F241&gt;0, A241&lt;=loanMonths), F241*rMonthly, 0)</f>
        <v/>
      </c>
      <c r="H241" s="25">
        <f>IF(AND(F241&gt;0, A241&lt;=loanMonths), EMI, 0)</f>
        <v/>
      </c>
      <c r="I241" s="25">
        <f>IF(AND(F241&gt;0, A241&lt;=loanMonths), MAX(0, F241-MIN(EMI-G241, F241)), F241)</f>
        <v/>
      </c>
      <c r="J241" s="25">
        <f>K240</f>
        <v/>
      </c>
      <c r="K241" s="25">
        <f>J241*(1+mfMo)+H241-E241</f>
        <v/>
      </c>
      <c r="L241" s="25">
        <f>L240+E241</f>
        <v/>
      </c>
      <c r="M241" s="25">
        <f>M240+H241+MAX(0,-E241)</f>
        <v/>
      </c>
      <c r="N241" s="25">
        <f>N240+MAX(0,E241)</f>
        <v/>
      </c>
    </row>
    <row r="242">
      <c r="A242" s="22" t="n">
        <v>241</v>
      </c>
      <c r="B242" s="23">
        <f>propPrice*(1+monthlyAppn)^A242</f>
        <v/>
      </c>
      <c r="C242" s="23">
        <f>IF(A242&gt;=startRentalMonth, initRent*(1+monthlyRentInf)^(A242-1), 0)</f>
        <v/>
      </c>
      <c r="D242" s="23">
        <f>initMaint*(1+monthlyRentInf)^(A242-1)</f>
        <v/>
      </c>
      <c r="E242" s="23">
        <f>C242*(1-vacancyPct)-D242</f>
        <v/>
      </c>
      <c r="F242" s="23">
        <f>I241</f>
        <v/>
      </c>
      <c r="G242" s="23">
        <f>IF(AND(F242&gt;0, A242&lt;=loanMonths), F242*rMonthly, 0)</f>
        <v/>
      </c>
      <c r="H242" s="23">
        <f>IF(AND(F242&gt;0, A242&lt;=loanMonths), EMI, 0)</f>
        <v/>
      </c>
      <c r="I242" s="23">
        <f>IF(AND(F242&gt;0, A242&lt;=loanMonths), MAX(0, F242-MIN(EMI-G242, F242)), F242)</f>
        <v/>
      </c>
      <c r="J242" s="23">
        <f>K241</f>
        <v/>
      </c>
      <c r="K242" s="23">
        <f>J242*(1+mfMo)+H242-E242</f>
        <v/>
      </c>
      <c r="L242" s="23">
        <f>L241+E242</f>
        <v/>
      </c>
      <c r="M242" s="23">
        <f>M241+H242+MAX(0,-E242)</f>
        <v/>
      </c>
      <c r="N242" s="23">
        <f>N241+MAX(0,E242)</f>
        <v/>
      </c>
    </row>
    <row r="243">
      <c r="A243" s="24" t="n">
        <v>242</v>
      </c>
      <c r="B243" s="25">
        <f>propPrice*(1+monthlyAppn)^A243</f>
        <v/>
      </c>
      <c r="C243" s="25">
        <f>IF(A243&gt;=startRentalMonth, initRent*(1+monthlyRentInf)^(A243-1), 0)</f>
        <v/>
      </c>
      <c r="D243" s="25">
        <f>initMaint*(1+monthlyRentInf)^(A243-1)</f>
        <v/>
      </c>
      <c r="E243" s="25">
        <f>C243*(1-vacancyPct)-D243</f>
        <v/>
      </c>
      <c r="F243" s="25">
        <f>I242</f>
        <v/>
      </c>
      <c r="G243" s="25">
        <f>IF(AND(F243&gt;0, A243&lt;=loanMonths), F243*rMonthly, 0)</f>
        <v/>
      </c>
      <c r="H243" s="25">
        <f>IF(AND(F243&gt;0, A243&lt;=loanMonths), EMI, 0)</f>
        <v/>
      </c>
      <c r="I243" s="25">
        <f>IF(AND(F243&gt;0, A243&lt;=loanMonths), MAX(0, F243-MIN(EMI-G243, F243)), F243)</f>
        <v/>
      </c>
      <c r="J243" s="25">
        <f>K242</f>
        <v/>
      </c>
      <c r="K243" s="25">
        <f>J243*(1+mfMo)+H243-E243</f>
        <v/>
      </c>
      <c r="L243" s="25">
        <f>L242+E243</f>
        <v/>
      </c>
      <c r="M243" s="25">
        <f>M242+H243+MAX(0,-E243)</f>
        <v/>
      </c>
      <c r="N243" s="25">
        <f>N242+MAX(0,E243)</f>
        <v/>
      </c>
    </row>
    <row r="244">
      <c r="A244" s="22" t="n">
        <v>243</v>
      </c>
      <c r="B244" s="23">
        <f>propPrice*(1+monthlyAppn)^A244</f>
        <v/>
      </c>
      <c r="C244" s="23">
        <f>IF(A244&gt;=startRentalMonth, initRent*(1+monthlyRentInf)^(A244-1), 0)</f>
        <v/>
      </c>
      <c r="D244" s="23">
        <f>initMaint*(1+monthlyRentInf)^(A244-1)</f>
        <v/>
      </c>
      <c r="E244" s="23">
        <f>C244*(1-vacancyPct)-D244</f>
        <v/>
      </c>
      <c r="F244" s="23">
        <f>I243</f>
        <v/>
      </c>
      <c r="G244" s="23">
        <f>IF(AND(F244&gt;0, A244&lt;=loanMonths), F244*rMonthly, 0)</f>
        <v/>
      </c>
      <c r="H244" s="23">
        <f>IF(AND(F244&gt;0, A244&lt;=loanMonths), EMI, 0)</f>
        <v/>
      </c>
      <c r="I244" s="23">
        <f>IF(AND(F244&gt;0, A244&lt;=loanMonths), MAX(0, F244-MIN(EMI-G244, F244)), F244)</f>
        <v/>
      </c>
      <c r="J244" s="23">
        <f>K243</f>
        <v/>
      </c>
      <c r="K244" s="23">
        <f>J244*(1+mfMo)+H244-E244</f>
        <v/>
      </c>
      <c r="L244" s="23">
        <f>L243+E244</f>
        <v/>
      </c>
      <c r="M244" s="23">
        <f>M243+H244+MAX(0,-E244)</f>
        <v/>
      </c>
      <c r="N244" s="23">
        <f>N243+MAX(0,E244)</f>
        <v/>
      </c>
    </row>
    <row r="245">
      <c r="A245" s="24" t="n">
        <v>244</v>
      </c>
      <c r="B245" s="25">
        <f>propPrice*(1+monthlyAppn)^A245</f>
        <v/>
      </c>
      <c r="C245" s="25">
        <f>IF(A245&gt;=startRentalMonth, initRent*(1+monthlyRentInf)^(A245-1), 0)</f>
        <v/>
      </c>
      <c r="D245" s="25">
        <f>initMaint*(1+monthlyRentInf)^(A245-1)</f>
        <v/>
      </c>
      <c r="E245" s="25">
        <f>C245*(1-vacancyPct)-D245</f>
        <v/>
      </c>
      <c r="F245" s="25">
        <f>I244</f>
        <v/>
      </c>
      <c r="G245" s="25">
        <f>IF(AND(F245&gt;0, A245&lt;=loanMonths), F245*rMonthly, 0)</f>
        <v/>
      </c>
      <c r="H245" s="25">
        <f>IF(AND(F245&gt;0, A245&lt;=loanMonths), EMI, 0)</f>
        <v/>
      </c>
      <c r="I245" s="25">
        <f>IF(AND(F245&gt;0, A245&lt;=loanMonths), MAX(0, F245-MIN(EMI-G245, F245)), F245)</f>
        <v/>
      </c>
      <c r="J245" s="25">
        <f>K244</f>
        <v/>
      </c>
      <c r="K245" s="25">
        <f>J245*(1+mfMo)+H245-E245</f>
        <v/>
      </c>
      <c r="L245" s="25">
        <f>L244+E245</f>
        <v/>
      </c>
      <c r="M245" s="25">
        <f>M244+H245+MAX(0,-E245)</f>
        <v/>
      </c>
      <c r="N245" s="25">
        <f>N244+MAX(0,E245)</f>
        <v/>
      </c>
    </row>
    <row r="246">
      <c r="A246" s="22" t="n">
        <v>245</v>
      </c>
      <c r="B246" s="23">
        <f>propPrice*(1+monthlyAppn)^A246</f>
        <v/>
      </c>
      <c r="C246" s="23">
        <f>IF(A246&gt;=startRentalMonth, initRent*(1+monthlyRentInf)^(A246-1), 0)</f>
        <v/>
      </c>
      <c r="D246" s="23">
        <f>initMaint*(1+monthlyRentInf)^(A246-1)</f>
        <v/>
      </c>
      <c r="E246" s="23">
        <f>C246*(1-vacancyPct)-D246</f>
        <v/>
      </c>
      <c r="F246" s="23">
        <f>I245</f>
        <v/>
      </c>
      <c r="G246" s="23">
        <f>IF(AND(F246&gt;0, A246&lt;=loanMonths), F246*rMonthly, 0)</f>
        <v/>
      </c>
      <c r="H246" s="23">
        <f>IF(AND(F246&gt;0, A246&lt;=loanMonths), EMI, 0)</f>
        <v/>
      </c>
      <c r="I246" s="23">
        <f>IF(AND(F246&gt;0, A246&lt;=loanMonths), MAX(0, F246-MIN(EMI-G246, F246)), F246)</f>
        <v/>
      </c>
      <c r="J246" s="23">
        <f>K245</f>
        <v/>
      </c>
      <c r="K246" s="23">
        <f>J246*(1+mfMo)+H246-E246</f>
        <v/>
      </c>
      <c r="L246" s="23">
        <f>L245+E246</f>
        <v/>
      </c>
      <c r="M246" s="23">
        <f>M245+H246+MAX(0,-E246)</f>
        <v/>
      </c>
      <c r="N246" s="23">
        <f>N245+MAX(0,E246)</f>
        <v/>
      </c>
    </row>
    <row r="247">
      <c r="A247" s="24" t="n">
        <v>246</v>
      </c>
      <c r="B247" s="25">
        <f>propPrice*(1+monthlyAppn)^A247</f>
        <v/>
      </c>
      <c r="C247" s="25">
        <f>IF(A247&gt;=startRentalMonth, initRent*(1+monthlyRentInf)^(A247-1), 0)</f>
        <v/>
      </c>
      <c r="D247" s="25">
        <f>initMaint*(1+monthlyRentInf)^(A247-1)</f>
        <v/>
      </c>
      <c r="E247" s="25">
        <f>C247*(1-vacancyPct)-D247</f>
        <v/>
      </c>
      <c r="F247" s="25">
        <f>I246</f>
        <v/>
      </c>
      <c r="G247" s="25">
        <f>IF(AND(F247&gt;0, A247&lt;=loanMonths), F247*rMonthly, 0)</f>
        <v/>
      </c>
      <c r="H247" s="25">
        <f>IF(AND(F247&gt;0, A247&lt;=loanMonths), EMI, 0)</f>
        <v/>
      </c>
      <c r="I247" s="25">
        <f>IF(AND(F247&gt;0, A247&lt;=loanMonths), MAX(0, F247-MIN(EMI-G247, F247)), F247)</f>
        <v/>
      </c>
      <c r="J247" s="25">
        <f>K246</f>
        <v/>
      </c>
      <c r="K247" s="25">
        <f>J247*(1+mfMo)+H247-E247</f>
        <v/>
      </c>
      <c r="L247" s="25">
        <f>L246+E247</f>
        <v/>
      </c>
      <c r="M247" s="25">
        <f>M246+H247+MAX(0,-E247)</f>
        <v/>
      </c>
      <c r="N247" s="25">
        <f>N246+MAX(0,E247)</f>
        <v/>
      </c>
    </row>
    <row r="248">
      <c r="A248" s="22" t="n">
        <v>247</v>
      </c>
      <c r="B248" s="23">
        <f>propPrice*(1+monthlyAppn)^A248</f>
        <v/>
      </c>
      <c r="C248" s="23">
        <f>IF(A248&gt;=startRentalMonth, initRent*(1+monthlyRentInf)^(A248-1), 0)</f>
        <v/>
      </c>
      <c r="D248" s="23">
        <f>initMaint*(1+monthlyRentInf)^(A248-1)</f>
        <v/>
      </c>
      <c r="E248" s="23">
        <f>C248*(1-vacancyPct)-D248</f>
        <v/>
      </c>
      <c r="F248" s="23">
        <f>I247</f>
        <v/>
      </c>
      <c r="G248" s="23">
        <f>IF(AND(F248&gt;0, A248&lt;=loanMonths), F248*rMonthly, 0)</f>
        <v/>
      </c>
      <c r="H248" s="23">
        <f>IF(AND(F248&gt;0, A248&lt;=loanMonths), EMI, 0)</f>
        <v/>
      </c>
      <c r="I248" s="23">
        <f>IF(AND(F248&gt;0, A248&lt;=loanMonths), MAX(0, F248-MIN(EMI-G248, F248)), F248)</f>
        <v/>
      </c>
      <c r="J248" s="23">
        <f>K247</f>
        <v/>
      </c>
      <c r="K248" s="23">
        <f>J248*(1+mfMo)+H248-E248</f>
        <v/>
      </c>
      <c r="L248" s="23">
        <f>L247+E248</f>
        <v/>
      </c>
      <c r="M248" s="23">
        <f>M247+H248+MAX(0,-E248)</f>
        <v/>
      </c>
      <c r="N248" s="23">
        <f>N247+MAX(0,E248)</f>
        <v/>
      </c>
    </row>
    <row r="249">
      <c r="A249" s="24" t="n">
        <v>248</v>
      </c>
      <c r="B249" s="25">
        <f>propPrice*(1+monthlyAppn)^A249</f>
        <v/>
      </c>
      <c r="C249" s="25">
        <f>IF(A249&gt;=startRentalMonth, initRent*(1+monthlyRentInf)^(A249-1), 0)</f>
        <v/>
      </c>
      <c r="D249" s="25">
        <f>initMaint*(1+monthlyRentInf)^(A249-1)</f>
        <v/>
      </c>
      <c r="E249" s="25">
        <f>C249*(1-vacancyPct)-D249</f>
        <v/>
      </c>
      <c r="F249" s="25">
        <f>I248</f>
        <v/>
      </c>
      <c r="G249" s="25">
        <f>IF(AND(F249&gt;0, A249&lt;=loanMonths), F249*rMonthly, 0)</f>
        <v/>
      </c>
      <c r="H249" s="25">
        <f>IF(AND(F249&gt;0, A249&lt;=loanMonths), EMI, 0)</f>
        <v/>
      </c>
      <c r="I249" s="25">
        <f>IF(AND(F249&gt;0, A249&lt;=loanMonths), MAX(0, F249-MIN(EMI-G249, F249)), F249)</f>
        <v/>
      </c>
      <c r="J249" s="25">
        <f>K248</f>
        <v/>
      </c>
      <c r="K249" s="25">
        <f>J249*(1+mfMo)+H249-E249</f>
        <v/>
      </c>
      <c r="L249" s="25">
        <f>L248+E249</f>
        <v/>
      </c>
      <c r="M249" s="25">
        <f>M248+H249+MAX(0,-E249)</f>
        <v/>
      </c>
      <c r="N249" s="25">
        <f>N248+MAX(0,E249)</f>
        <v/>
      </c>
    </row>
    <row r="250">
      <c r="A250" s="22" t="n">
        <v>249</v>
      </c>
      <c r="B250" s="23">
        <f>propPrice*(1+monthlyAppn)^A250</f>
        <v/>
      </c>
      <c r="C250" s="23">
        <f>IF(A250&gt;=startRentalMonth, initRent*(1+monthlyRentInf)^(A250-1), 0)</f>
        <v/>
      </c>
      <c r="D250" s="23">
        <f>initMaint*(1+monthlyRentInf)^(A250-1)</f>
        <v/>
      </c>
      <c r="E250" s="23">
        <f>C250*(1-vacancyPct)-D250</f>
        <v/>
      </c>
      <c r="F250" s="23">
        <f>I249</f>
        <v/>
      </c>
      <c r="G250" s="23">
        <f>IF(AND(F250&gt;0, A250&lt;=loanMonths), F250*rMonthly, 0)</f>
        <v/>
      </c>
      <c r="H250" s="23">
        <f>IF(AND(F250&gt;0, A250&lt;=loanMonths), EMI, 0)</f>
        <v/>
      </c>
      <c r="I250" s="23">
        <f>IF(AND(F250&gt;0, A250&lt;=loanMonths), MAX(0, F250-MIN(EMI-G250, F250)), F250)</f>
        <v/>
      </c>
      <c r="J250" s="23">
        <f>K249</f>
        <v/>
      </c>
      <c r="K250" s="23">
        <f>J250*(1+mfMo)+H250-E250</f>
        <v/>
      </c>
      <c r="L250" s="23">
        <f>L249+E250</f>
        <v/>
      </c>
      <c r="M250" s="23">
        <f>M249+H250+MAX(0,-E250)</f>
        <v/>
      </c>
      <c r="N250" s="23">
        <f>N249+MAX(0,E250)</f>
        <v/>
      </c>
    </row>
    <row r="251">
      <c r="A251" s="24" t="n">
        <v>250</v>
      </c>
      <c r="B251" s="25">
        <f>propPrice*(1+monthlyAppn)^A251</f>
        <v/>
      </c>
      <c r="C251" s="25">
        <f>IF(A251&gt;=startRentalMonth, initRent*(1+monthlyRentInf)^(A251-1), 0)</f>
        <v/>
      </c>
      <c r="D251" s="25">
        <f>initMaint*(1+monthlyRentInf)^(A251-1)</f>
        <v/>
      </c>
      <c r="E251" s="25">
        <f>C251*(1-vacancyPct)-D251</f>
        <v/>
      </c>
      <c r="F251" s="25">
        <f>I250</f>
        <v/>
      </c>
      <c r="G251" s="25">
        <f>IF(AND(F251&gt;0, A251&lt;=loanMonths), F251*rMonthly, 0)</f>
        <v/>
      </c>
      <c r="H251" s="25">
        <f>IF(AND(F251&gt;0, A251&lt;=loanMonths), EMI, 0)</f>
        <v/>
      </c>
      <c r="I251" s="25">
        <f>IF(AND(F251&gt;0, A251&lt;=loanMonths), MAX(0, F251-MIN(EMI-G251, F251)), F251)</f>
        <v/>
      </c>
      <c r="J251" s="25">
        <f>K250</f>
        <v/>
      </c>
      <c r="K251" s="25">
        <f>J251*(1+mfMo)+H251-E251</f>
        <v/>
      </c>
      <c r="L251" s="25">
        <f>L250+E251</f>
        <v/>
      </c>
      <c r="M251" s="25">
        <f>M250+H251+MAX(0,-E251)</f>
        <v/>
      </c>
      <c r="N251" s="25">
        <f>N250+MAX(0,E251)</f>
        <v/>
      </c>
    </row>
    <row r="252">
      <c r="A252" s="22" t="n">
        <v>251</v>
      </c>
      <c r="B252" s="23">
        <f>propPrice*(1+monthlyAppn)^A252</f>
        <v/>
      </c>
      <c r="C252" s="23">
        <f>IF(A252&gt;=startRentalMonth, initRent*(1+monthlyRentInf)^(A252-1), 0)</f>
        <v/>
      </c>
      <c r="D252" s="23">
        <f>initMaint*(1+monthlyRentInf)^(A252-1)</f>
        <v/>
      </c>
      <c r="E252" s="23">
        <f>C252*(1-vacancyPct)-D252</f>
        <v/>
      </c>
      <c r="F252" s="23">
        <f>I251</f>
        <v/>
      </c>
      <c r="G252" s="23">
        <f>IF(AND(F252&gt;0, A252&lt;=loanMonths), F252*rMonthly, 0)</f>
        <v/>
      </c>
      <c r="H252" s="23">
        <f>IF(AND(F252&gt;0, A252&lt;=loanMonths), EMI, 0)</f>
        <v/>
      </c>
      <c r="I252" s="23">
        <f>IF(AND(F252&gt;0, A252&lt;=loanMonths), MAX(0, F252-MIN(EMI-G252, F252)), F252)</f>
        <v/>
      </c>
      <c r="J252" s="23">
        <f>K251</f>
        <v/>
      </c>
      <c r="K252" s="23">
        <f>J252*(1+mfMo)+H252-E252</f>
        <v/>
      </c>
      <c r="L252" s="23">
        <f>L251+E252</f>
        <v/>
      </c>
      <c r="M252" s="23">
        <f>M251+H252+MAX(0,-E252)</f>
        <v/>
      </c>
      <c r="N252" s="23">
        <f>N251+MAX(0,E252)</f>
        <v/>
      </c>
    </row>
    <row r="253">
      <c r="A253" s="24" t="n">
        <v>252</v>
      </c>
      <c r="B253" s="25">
        <f>propPrice*(1+monthlyAppn)^A253</f>
        <v/>
      </c>
      <c r="C253" s="25">
        <f>IF(A253&gt;=startRentalMonth, initRent*(1+monthlyRentInf)^(A253-1), 0)</f>
        <v/>
      </c>
      <c r="D253" s="25">
        <f>initMaint*(1+monthlyRentInf)^(A253-1)</f>
        <v/>
      </c>
      <c r="E253" s="25">
        <f>C253*(1-vacancyPct)-D253</f>
        <v/>
      </c>
      <c r="F253" s="25">
        <f>I252</f>
        <v/>
      </c>
      <c r="G253" s="25">
        <f>IF(AND(F253&gt;0, A253&lt;=loanMonths), F253*rMonthly, 0)</f>
        <v/>
      </c>
      <c r="H253" s="25">
        <f>IF(AND(F253&gt;0, A253&lt;=loanMonths), EMI, 0)</f>
        <v/>
      </c>
      <c r="I253" s="25">
        <f>IF(AND(F253&gt;0, A253&lt;=loanMonths), MAX(0, F253-MIN(EMI-G253, F253)), F253)</f>
        <v/>
      </c>
      <c r="J253" s="25">
        <f>K252</f>
        <v/>
      </c>
      <c r="K253" s="25">
        <f>J253*(1+mfMo)+H253-E253</f>
        <v/>
      </c>
      <c r="L253" s="25">
        <f>L252+E253</f>
        <v/>
      </c>
      <c r="M253" s="25">
        <f>M252+H253+MAX(0,-E253)</f>
        <v/>
      </c>
      <c r="N253" s="25">
        <f>N252+MAX(0,E253)</f>
        <v/>
      </c>
    </row>
    <row r="254">
      <c r="A254" s="22" t="n">
        <v>253</v>
      </c>
      <c r="B254" s="23">
        <f>propPrice*(1+monthlyAppn)^A254</f>
        <v/>
      </c>
      <c r="C254" s="23">
        <f>IF(A254&gt;=startRentalMonth, initRent*(1+monthlyRentInf)^(A254-1), 0)</f>
        <v/>
      </c>
      <c r="D254" s="23">
        <f>initMaint*(1+monthlyRentInf)^(A254-1)</f>
        <v/>
      </c>
      <c r="E254" s="23">
        <f>C254*(1-vacancyPct)-D254</f>
        <v/>
      </c>
      <c r="F254" s="23">
        <f>I253</f>
        <v/>
      </c>
      <c r="G254" s="23">
        <f>IF(AND(F254&gt;0, A254&lt;=loanMonths), F254*rMonthly, 0)</f>
        <v/>
      </c>
      <c r="H254" s="23">
        <f>IF(AND(F254&gt;0, A254&lt;=loanMonths), EMI, 0)</f>
        <v/>
      </c>
      <c r="I254" s="23">
        <f>IF(AND(F254&gt;0, A254&lt;=loanMonths), MAX(0, F254-MIN(EMI-G254, F254)), F254)</f>
        <v/>
      </c>
      <c r="J254" s="23">
        <f>K253</f>
        <v/>
      </c>
      <c r="K254" s="23">
        <f>J254*(1+mfMo)+H254-E254</f>
        <v/>
      </c>
      <c r="L254" s="23">
        <f>L253+E254</f>
        <v/>
      </c>
      <c r="M254" s="23">
        <f>M253+H254+MAX(0,-E254)</f>
        <v/>
      </c>
      <c r="N254" s="23">
        <f>N253+MAX(0,E254)</f>
        <v/>
      </c>
    </row>
    <row r="255">
      <c r="A255" s="24" t="n">
        <v>254</v>
      </c>
      <c r="B255" s="25">
        <f>propPrice*(1+monthlyAppn)^A255</f>
        <v/>
      </c>
      <c r="C255" s="25">
        <f>IF(A255&gt;=startRentalMonth, initRent*(1+monthlyRentInf)^(A255-1), 0)</f>
        <v/>
      </c>
      <c r="D255" s="25">
        <f>initMaint*(1+monthlyRentInf)^(A255-1)</f>
        <v/>
      </c>
      <c r="E255" s="25">
        <f>C255*(1-vacancyPct)-D255</f>
        <v/>
      </c>
      <c r="F255" s="25">
        <f>I254</f>
        <v/>
      </c>
      <c r="G255" s="25">
        <f>IF(AND(F255&gt;0, A255&lt;=loanMonths), F255*rMonthly, 0)</f>
        <v/>
      </c>
      <c r="H255" s="25">
        <f>IF(AND(F255&gt;0, A255&lt;=loanMonths), EMI, 0)</f>
        <v/>
      </c>
      <c r="I255" s="25">
        <f>IF(AND(F255&gt;0, A255&lt;=loanMonths), MAX(0, F255-MIN(EMI-G255, F255)), F255)</f>
        <v/>
      </c>
      <c r="J255" s="25">
        <f>K254</f>
        <v/>
      </c>
      <c r="K255" s="25">
        <f>J255*(1+mfMo)+H255-E255</f>
        <v/>
      </c>
      <c r="L255" s="25">
        <f>L254+E255</f>
        <v/>
      </c>
      <c r="M255" s="25">
        <f>M254+H255+MAX(0,-E255)</f>
        <v/>
      </c>
      <c r="N255" s="25">
        <f>N254+MAX(0,E255)</f>
        <v/>
      </c>
    </row>
    <row r="256">
      <c r="A256" s="22" t="n">
        <v>255</v>
      </c>
      <c r="B256" s="23">
        <f>propPrice*(1+monthlyAppn)^A256</f>
        <v/>
      </c>
      <c r="C256" s="23">
        <f>IF(A256&gt;=startRentalMonth, initRent*(1+monthlyRentInf)^(A256-1), 0)</f>
        <v/>
      </c>
      <c r="D256" s="23">
        <f>initMaint*(1+monthlyRentInf)^(A256-1)</f>
        <v/>
      </c>
      <c r="E256" s="23">
        <f>C256*(1-vacancyPct)-D256</f>
        <v/>
      </c>
      <c r="F256" s="23">
        <f>I255</f>
        <v/>
      </c>
      <c r="G256" s="23">
        <f>IF(AND(F256&gt;0, A256&lt;=loanMonths), F256*rMonthly, 0)</f>
        <v/>
      </c>
      <c r="H256" s="23">
        <f>IF(AND(F256&gt;0, A256&lt;=loanMonths), EMI, 0)</f>
        <v/>
      </c>
      <c r="I256" s="23">
        <f>IF(AND(F256&gt;0, A256&lt;=loanMonths), MAX(0, F256-MIN(EMI-G256, F256)), F256)</f>
        <v/>
      </c>
      <c r="J256" s="23">
        <f>K255</f>
        <v/>
      </c>
      <c r="K256" s="23">
        <f>J256*(1+mfMo)+H256-E256</f>
        <v/>
      </c>
      <c r="L256" s="23">
        <f>L255+E256</f>
        <v/>
      </c>
      <c r="M256" s="23">
        <f>M255+H256+MAX(0,-E256)</f>
        <v/>
      </c>
      <c r="N256" s="23">
        <f>N255+MAX(0,E256)</f>
        <v/>
      </c>
    </row>
    <row r="257">
      <c r="A257" s="24" t="n">
        <v>256</v>
      </c>
      <c r="B257" s="25">
        <f>propPrice*(1+monthlyAppn)^A257</f>
        <v/>
      </c>
      <c r="C257" s="25">
        <f>IF(A257&gt;=startRentalMonth, initRent*(1+monthlyRentInf)^(A257-1), 0)</f>
        <v/>
      </c>
      <c r="D257" s="25">
        <f>initMaint*(1+monthlyRentInf)^(A257-1)</f>
        <v/>
      </c>
      <c r="E257" s="25">
        <f>C257*(1-vacancyPct)-D257</f>
        <v/>
      </c>
      <c r="F257" s="25">
        <f>I256</f>
        <v/>
      </c>
      <c r="G257" s="25">
        <f>IF(AND(F257&gt;0, A257&lt;=loanMonths), F257*rMonthly, 0)</f>
        <v/>
      </c>
      <c r="H257" s="25">
        <f>IF(AND(F257&gt;0, A257&lt;=loanMonths), EMI, 0)</f>
        <v/>
      </c>
      <c r="I257" s="25">
        <f>IF(AND(F257&gt;0, A257&lt;=loanMonths), MAX(0, F257-MIN(EMI-G257, F257)), F257)</f>
        <v/>
      </c>
      <c r="J257" s="25">
        <f>K256</f>
        <v/>
      </c>
      <c r="K257" s="25">
        <f>J257*(1+mfMo)+H257-E257</f>
        <v/>
      </c>
      <c r="L257" s="25">
        <f>L256+E257</f>
        <v/>
      </c>
      <c r="M257" s="25">
        <f>M256+H257+MAX(0,-E257)</f>
        <v/>
      </c>
      <c r="N257" s="25">
        <f>N256+MAX(0,E257)</f>
        <v/>
      </c>
    </row>
    <row r="258">
      <c r="A258" s="22" t="n">
        <v>257</v>
      </c>
      <c r="B258" s="23">
        <f>propPrice*(1+monthlyAppn)^A258</f>
        <v/>
      </c>
      <c r="C258" s="23">
        <f>IF(A258&gt;=startRentalMonth, initRent*(1+monthlyRentInf)^(A258-1), 0)</f>
        <v/>
      </c>
      <c r="D258" s="23">
        <f>initMaint*(1+monthlyRentInf)^(A258-1)</f>
        <v/>
      </c>
      <c r="E258" s="23">
        <f>C258*(1-vacancyPct)-D258</f>
        <v/>
      </c>
      <c r="F258" s="23">
        <f>I257</f>
        <v/>
      </c>
      <c r="G258" s="23">
        <f>IF(AND(F258&gt;0, A258&lt;=loanMonths), F258*rMonthly, 0)</f>
        <v/>
      </c>
      <c r="H258" s="23">
        <f>IF(AND(F258&gt;0, A258&lt;=loanMonths), EMI, 0)</f>
        <v/>
      </c>
      <c r="I258" s="23">
        <f>IF(AND(F258&gt;0, A258&lt;=loanMonths), MAX(0, F258-MIN(EMI-G258, F258)), F258)</f>
        <v/>
      </c>
      <c r="J258" s="23">
        <f>K257</f>
        <v/>
      </c>
      <c r="K258" s="23">
        <f>J258*(1+mfMo)+H258-E258</f>
        <v/>
      </c>
      <c r="L258" s="23">
        <f>L257+E258</f>
        <v/>
      </c>
      <c r="M258" s="23">
        <f>M257+H258+MAX(0,-E258)</f>
        <v/>
      </c>
      <c r="N258" s="23">
        <f>N257+MAX(0,E258)</f>
        <v/>
      </c>
    </row>
    <row r="259">
      <c r="A259" s="24" t="n">
        <v>258</v>
      </c>
      <c r="B259" s="25">
        <f>propPrice*(1+monthlyAppn)^A259</f>
        <v/>
      </c>
      <c r="C259" s="25">
        <f>IF(A259&gt;=startRentalMonth, initRent*(1+monthlyRentInf)^(A259-1), 0)</f>
        <v/>
      </c>
      <c r="D259" s="25">
        <f>initMaint*(1+monthlyRentInf)^(A259-1)</f>
        <v/>
      </c>
      <c r="E259" s="25">
        <f>C259*(1-vacancyPct)-D259</f>
        <v/>
      </c>
      <c r="F259" s="25">
        <f>I258</f>
        <v/>
      </c>
      <c r="G259" s="25">
        <f>IF(AND(F259&gt;0, A259&lt;=loanMonths), F259*rMonthly, 0)</f>
        <v/>
      </c>
      <c r="H259" s="25">
        <f>IF(AND(F259&gt;0, A259&lt;=loanMonths), EMI, 0)</f>
        <v/>
      </c>
      <c r="I259" s="25">
        <f>IF(AND(F259&gt;0, A259&lt;=loanMonths), MAX(0, F259-MIN(EMI-G259, F259)), F259)</f>
        <v/>
      </c>
      <c r="J259" s="25">
        <f>K258</f>
        <v/>
      </c>
      <c r="K259" s="25">
        <f>J259*(1+mfMo)+H259-E259</f>
        <v/>
      </c>
      <c r="L259" s="25">
        <f>L258+E259</f>
        <v/>
      </c>
      <c r="M259" s="25">
        <f>M258+H259+MAX(0,-E259)</f>
        <v/>
      </c>
      <c r="N259" s="25">
        <f>N258+MAX(0,E259)</f>
        <v/>
      </c>
    </row>
    <row r="260">
      <c r="A260" s="22" t="n">
        <v>259</v>
      </c>
      <c r="B260" s="23">
        <f>propPrice*(1+monthlyAppn)^A260</f>
        <v/>
      </c>
      <c r="C260" s="23">
        <f>IF(A260&gt;=startRentalMonth, initRent*(1+monthlyRentInf)^(A260-1), 0)</f>
        <v/>
      </c>
      <c r="D260" s="23">
        <f>initMaint*(1+monthlyRentInf)^(A260-1)</f>
        <v/>
      </c>
      <c r="E260" s="23">
        <f>C260*(1-vacancyPct)-D260</f>
        <v/>
      </c>
      <c r="F260" s="23">
        <f>I259</f>
        <v/>
      </c>
      <c r="G260" s="23">
        <f>IF(AND(F260&gt;0, A260&lt;=loanMonths), F260*rMonthly, 0)</f>
        <v/>
      </c>
      <c r="H260" s="23">
        <f>IF(AND(F260&gt;0, A260&lt;=loanMonths), EMI, 0)</f>
        <v/>
      </c>
      <c r="I260" s="23">
        <f>IF(AND(F260&gt;0, A260&lt;=loanMonths), MAX(0, F260-MIN(EMI-G260, F260)), F260)</f>
        <v/>
      </c>
      <c r="J260" s="23">
        <f>K259</f>
        <v/>
      </c>
      <c r="K260" s="23">
        <f>J260*(1+mfMo)+H260-E260</f>
        <v/>
      </c>
      <c r="L260" s="23">
        <f>L259+E260</f>
        <v/>
      </c>
      <c r="M260" s="23">
        <f>M259+H260+MAX(0,-E260)</f>
        <v/>
      </c>
      <c r="N260" s="23">
        <f>N259+MAX(0,E260)</f>
        <v/>
      </c>
    </row>
    <row r="261">
      <c r="A261" s="24" t="n">
        <v>260</v>
      </c>
      <c r="B261" s="25">
        <f>propPrice*(1+monthlyAppn)^A261</f>
        <v/>
      </c>
      <c r="C261" s="25">
        <f>IF(A261&gt;=startRentalMonth, initRent*(1+monthlyRentInf)^(A261-1), 0)</f>
        <v/>
      </c>
      <c r="D261" s="25">
        <f>initMaint*(1+monthlyRentInf)^(A261-1)</f>
        <v/>
      </c>
      <c r="E261" s="25">
        <f>C261*(1-vacancyPct)-D261</f>
        <v/>
      </c>
      <c r="F261" s="25">
        <f>I260</f>
        <v/>
      </c>
      <c r="G261" s="25">
        <f>IF(AND(F261&gt;0, A261&lt;=loanMonths), F261*rMonthly, 0)</f>
        <v/>
      </c>
      <c r="H261" s="25">
        <f>IF(AND(F261&gt;0, A261&lt;=loanMonths), EMI, 0)</f>
        <v/>
      </c>
      <c r="I261" s="25">
        <f>IF(AND(F261&gt;0, A261&lt;=loanMonths), MAX(0, F261-MIN(EMI-G261, F261)), F261)</f>
        <v/>
      </c>
      <c r="J261" s="25">
        <f>K260</f>
        <v/>
      </c>
      <c r="K261" s="25">
        <f>J261*(1+mfMo)+H261-E261</f>
        <v/>
      </c>
      <c r="L261" s="25">
        <f>L260+E261</f>
        <v/>
      </c>
      <c r="M261" s="25">
        <f>M260+H261+MAX(0,-E261)</f>
        <v/>
      </c>
      <c r="N261" s="25">
        <f>N260+MAX(0,E261)</f>
        <v/>
      </c>
    </row>
    <row r="262">
      <c r="A262" s="22" t="n">
        <v>261</v>
      </c>
      <c r="B262" s="23">
        <f>propPrice*(1+monthlyAppn)^A262</f>
        <v/>
      </c>
      <c r="C262" s="23">
        <f>IF(A262&gt;=startRentalMonth, initRent*(1+monthlyRentInf)^(A262-1), 0)</f>
        <v/>
      </c>
      <c r="D262" s="23">
        <f>initMaint*(1+monthlyRentInf)^(A262-1)</f>
        <v/>
      </c>
      <c r="E262" s="23">
        <f>C262*(1-vacancyPct)-D262</f>
        <v/>
      </c>
      <c r="F262" s="23">
        <f>I261</f>
        <v/>
      </c>
      <c r="G262" s="23">
        <f>IF(AND(F262&gt;0, A262&lt;=loanMonths), F262*rMonthly, 0)</f>
        <v/>
      </c>
      <c r="H262" s="23">
        <f>IF(AND(F262&gt;0, A262&lt;=loanMonths), EMI, 0)</f>
        <v/>
      </c>
      <c r="I262" s="23">
        <f>IF(AND(F262&gt;0, A262&lt;=loanMonths), MAX(0, F262-MIN(EMI-G262, F262)), F262)</f>
        <v/>
      </c>
      <c r="J262" s="23">
        <f>K261</f>
        <v/>
      </c>
      <c r="K262" s="23">
        <f>J262*(1+mfMo)+H262-E262</f>
        <v/>
      </c>
      <c r="L262" s="23">
        <f>L261+E262</f>
        <v/>
      </c>
      <c r="M262" s="23">
        <f>M261+H262+MAX(0,-E262)</f>
        <v/>
      </c>
      <c r="N262" s="23">
        <f>N261+MAX(0,E262)</f>
        <v/>
      </c>
    </row>
    <row r="263">
      <c r="A263" s="24" t="n">
        <v>262</v>
      </c>
      <c r="B263" s="25">
        <f>propPrice*(1+monthlyAppn)^A263</f>
        <v/>
      </c>
      <c r="C263" s="25">
        <f>IF(A263&gt;=startRentalMonth, initRent*(1+monthlyRentInf)^(A263-1), 0)</f>
        <v/>
      </c>
      <c r="D263" s="25">
        <f>initMaint*(1+monthlyRentInf)^(A263-1)</f>
        <v/>
      </c>
      <c r="E263" s="25">
        <f>C263*(1-vacancyPct)-D263</f>
        <v/>
      </c>
      <c r="F263" s="25">
        <f>I262</f>
        <v/>
      </c>
      <c r="G263" s="25">
        <f>IF(AND(F263&gt;0, A263&lt;=loanMonths), F263*rMonthly, 0)</f>
        <v/>
      </c>
      <c r="H263" s="25">
        <f>IF(AND(F263&gt;0, A263&lt;=loanMonths), EMI, 0)</f>
        <v/>
      </c>
      <c r="I263" s="25">
        <f>IF(AND(F263&gt;0, A263&lt;=loanMonths), MAX(0, F263-MIN(EMI-G263, F263)), F263)</f>
        <v/>
      </c>
      <c r="J263" s="25">
        <f>K262</f>
        <v/>
      </c>
      <c r="K263" s="25">
        <f>J263*(1+mfMo)+H263-E263</f>
        <v/>
      </c>
      <c r="L263" s="25">
        <f>L262+E263</f>
        <v/>
      </c>
      <c r="M263" s="25">
        <f>M262+H263+MAX(0,-E263)</f>
        <v/>
      </c>
      <c r="N263" s="25">
        <f>N262+MAX(0,E263)</f>
        <v/>
      </c>
    </row>
    <row r="264">
      <c r="A264" s="22" t="n">
        <v>263</v>
      </c>
      <c r="B264" s="23">
        <f>propPrice*(1+monthlyAppn)^A264</f>
        <v/>
      </c>
      <c r="C264" s="23">
        <f>IF(A264&gt;=startRentalMonth, initRent*(1+monthlyRentInf)^(A264-1), 0)</f>
        <v/>
      </c>
      <c r="D264" s="23">
        <f>initMaint*(1+monthlyRentInf)^(A264-1)</f>
        <v/>
      </c>
      <c r="E264" s="23">
        <f>C264*(1-vacancyPct)-D264</f>
        <v/>
      </c>
      <c r="F264" s="23">
        <f>I263</f>
        <v/>
      </c>
      <c r="G264" s="23">
        <f>IF(AND(F264&gt;0, A264&lt;=loanMonths), F264*rMonthly, 0)</f>
        <v/>
      </c>
      <c r="H264" s="23">
        <f>IF(AND(F264&gt;0, A264&lt;=loanMonths), EMI, 0)</f>
        <v/>
      </c>
      <c r="I264" s="23">
        <f>IF(AND(F264&gt;0, A264&lt;=loanMonths), MAX(0, F264-MIN(EMI-G264, F264)), F264)</f>
        <v/>
      </c>
      <c r="J264" s="23">
        <f>K263</f>
        <v/>
      </c>
      <c r="K264" s="23">
        <f>J264*(1+mfMo)+H264-E264</f>
        <v/>
      </c>
      <c r="L264" s="23">
        <f>L263+E264</f>
        <v/>
      </c>
      <c r="M264" s="23">
        <f>M263+H264+MAX(0,-E264)</f>
        <v/>
      </c>
      <c r="N264" s="23">
        <f>N263+MAX(0,E264)</f>
        <v/>
      </c>
    </row>
    <row r="265">
      <c r="A265" s="24" t="n">
        <v>264</v>
      </c>
      <c r="B265" s="25">
        <f>propPrice*(1+monthlyAppn)^A265</f>
        <v/>
      </c>
      <c r="C265" s="25">
        <f>IF(A265&gt;=startRentalMonth, initRent*(1+monthlyRentInf)^(A265-1), 0)</f>
        <v/>
      </c>
      <c r="D265" s="25">
        <f>initMaint*(1+monthlyRentInf)^(A265-1)</f>
        <v/>
      </c>
      <c r="E265" s="25">
        <f>C265*(1-vacancyPct)-D265</f>
        <v/>
      </c>
      <c r="F265" s="25">
        <f>I264</f>
        <v/>
      </c>
      <c r="G265" s="25">
        <f>IF(AND(F265&gt;0, A265&lt;=loanMonths), F265*rMonthly, 0)</f>
        <v/>
      </c>
      <c r="H265" s="25">
        <f>IF(AND(F265&gt;0, A265&lt;=loanMonths), EMI, 0)</f>
        <v/>
      </c>
      <c r="I265" s="25">
        <f>IF(AND(F265&gt;0, A265&lt;=loanMonths), MAX(0, F265-MIN(EMI-G265, F265)), F265)</f>
        <v/>
      </c>
      <c r="J265" s="25">
        <f>K264</f>
        <v/>
      </c>
      <c r="K265" s="25">
        <f>J265*(1+mfMo)+H265-E265</f>
        <v/>
      </c>
      <c r="L265" s="25">
        <f>L264+E265</f>
        <v/>
      </c>
      <c r="M265" s="25">
        <f>M264+H265+MAX(0,-E265)</f>
        <v/>
      </c>
      <c r="N265" s="25">
        <f>N264+MAX(0,E265)</f>
        <v/>
      </c>
    </row>
    <row r="266">
      <c r="A266" s="22" t="n">
        <v>265</v>
      </c>
      <c r="B266" s="23">
        <f>propPrice*(1+monthlyAppn)^A266</f>
        <v/>
      </c>
      <c r="C266" s="23">
        <f>IF(A266&gt;=startRentalMonth, initRent*(1+monthlyRentInf)^(A266-1), 0)</f>
        <v/>
      </c>
      <c r="D266" s="23">
        <f>initMaint*(1+monthlyRentInf)^(A266-1)</f>
        <v/>
      </c>
      <c r="E266" s="23">
        <f>C266*(1-vacancyPct)-D266</f>
        <v/>
      </c>
      <c r="F266" s="23">
        <f>I265</f>
        <v/>
      </c>
      <c r="G266" s="23">
        <f>IF(AND(F266&gt;0, A266&lt;=loanMonths), F266*rMonthly, 0)</f>
        <v/>
      </c>
      <c r="H266" s="23">
        <f>IF(AND(F266&gt;0, A266&lt;=loanMonths), EMI, 0)</f>
        <v/>
      </c>
      <c r="I266" s="23">
        <f>IF(AND(F266&gt;0, A266&lt;=loanMonths), MAX(0, F266-MIN(EMI-G266, F266)), F266)</f>
        <v/>
      </c>
      <c r="J266" s="23">
        <f>K265</f>
        <v/>
      </c>
      <c r="K266" s="23">
        <f>J266*(1+mfMo)+H266-E266</f>
        <v/>
      </c>
      <c r="L266" s="23">
        <f>L265+E266</f>
        <v/>
      </c>
      <c r="M266" s="23">
        <f>M265+H266+MAX(0,-E266)</f>
        <v/>
      </c>
      <c r="N266" s="23">
        <f>N265+MAX(0,E266)</f>
        <v/>
      </c>
    </row>
    <row r="267">
      <c r="A267" s="24" t="n">
        <v>266</v>
      </c>
      <c r="B267" s="25">
        <f>propPrice*(1+monthlyAppn)^A267</f>
        <v/>
      </c>
      <c r="C267" s="25">
        <f>IF(A267&gt;=startRentalMonth, initRent*(1+monthlyRentInf)^(A267-1), 0)</f>
        <v/>
      </c>
      <c r="D267" s="25">
        <f>initMaint*(1+monthlyRentInf)^(A267-1)</f>
        <v/>
      </c>
      <c r="E267" s="25">
        <f>C267*(1-vacancyPct)-D267</f>
        <v/>
      </c>
      <c r="F267" s="25">
        <f>I266</f>
        <v/>
      </c>
      <c r="G267" s="25">
        <f>IF(AND(F267&gt;0, A267&lt;=loanMonths), F267*rMonthly, 0)</f>
        <v/>
      </c>
      <c r="H267" s="25">
        <f>IF(AND(F267&gt;0, A267&lt;=loanMonths), EMI, 0)</f>
        <v/>
      </c>
      <c r="I267" s="25">
        <f>IF(AND(F267&gt;0, A267&lt;=loanMonths), MAX(0, F267-MIN(EMI-G267, F267)), F267)</f>
        <v/>
      </c>
      <c r="J267" s="25">
        <f>K266</f>
        <v/>
      </c>
      <c r="K267" s="25">
        <f>J267*(1+mfMo)+H267-E267</f>
        <v/>
      </c>
      <c r="L267" s="25">
        <f>L266+E267</f>
        <v/>
      </c>
      <c r="M267" s="25">
        <f>M266+H267+MAX(0,-E267)</f>
        <v/>
      </c>
      <c r="N267" s="25">
        <f>N266+MAX(0,E267)</f>
        <v/>
      </c>
    </row>
    <row r="268">
      <c r="A268" s="22" t="n">
        <v>267</v>
      </c>
      <c r="B268" s="23">
        <f>propPrice*(1+monthlyAppn)^A268</f>
        <v/>
      </c>
      <c r="C268" s="23">
        <f>IF(A268&gt;=startRentalMonth, initRent*(1+monthlyRentInf)^(A268-1), 0)</f>
        <v/>
      </c>
      <c r="D268" s="23">
        <f>initMaint*(1+monthlyRentInf)^(A268-1)</f>
        <v/>
      </c>
      <c r="E268" s="23">
        <f>C268*(1-vacancyPct)-D268</f>
        <v/>
      </c>
      <c r="F268" s="23">
        <f>I267</f>
        <v/>
      </c>
      <c r="G268" s="23">
        <f>IF(AND(F268&gt;0, A268&lt;=loanMonths), F268*rMonthly, 0)</f>
        <v/>
      </c>
      <c r="H268" s="23">
        <f>IF(AND(F268&gt;0, A268&lt;=loanMonths), EMI, 0)</f>
        <v/>
      </c>
      <c r="I268" s="23">
        <f>IF(AND(F268&gt;0, A268&lt;=loanMonths), MAX(0, F268-MIN(EMI-G268, F268)), F268)</f>
        <v/>
      </c>
      <c r="J268" s="23">
        <f>K267</f>
        <v/>
      </c>
      <c r="K268" s="23">
        <f>J268*(1+mfMo)+H268-E268</f>
        <v/>
      </c>
      <c r="L268" s="23">
        <f>L267+E268</f>
        <v/>
      </c>
      <c r="M268" s="23">
        <f>M267+H268+MAX(0,-E268)</f>
        <v/>
      </c>
      <c r="N268" s="23">
        <f>N267+MAX(0,E268)</f>
        <v/>
      </c>
    </row>
    <row r="269">
      <c r="A269" s="24" t="n">
        <v>268</v>
      </c>
      <c r="B269" s="25">
        <f>propPrice*(1+monthlyAppn)^A269</f>
        <v/>
      </c>
      <c r="C269" s="25">
        <f>IF(A269&gt;=startRentalMonth, initRent*(1+monthlyRentInf)^(A269-1), 0)</f>
        <v/>
      </c>
      <c r="D269" s="25">
        <f>initMaint*(1+monthlyRentInf)^(A269-1)</f>
        <v/>
      </c>
      <c r="E269" s="25">
        <f>C269*(1-vacancyPct)-D269</f>
        <v/>
      </c>
      <c r="F269" s="25">
        <f>I268</f>
        <v/>
      </c>
      <c r="G269" s="25">
        <f>IF(AND(F269&gt;0, A269&lt;=loanMonths), F269*rMonthly, 0)</f>
        <v/>
      </c>
      <c r="H269" s="25">
        <f>IF(AND(F269&gt;0, A269&lt;=loanMonths), EMI, 0)</f>
        <v/>
      </c>
      <c r="I269" s="25">
        <f>IF(AND(F269&gt;0, A269&lt;=loanMonths), MAX(0, F269-MIN(EMI-G269, F269)), F269)</f>
        <v/>
      </c>
      <c r="J269" s="25">
        <f>K268</f>
        <v/>
      </c>
      <c r="K269" s="25">
        <f>J269*(1+mfMo)+H269-E269</f>
        <v/>
      </c>
      <c r="L269" s="25">
        <f>L268+E269</f>
        <v/>
      </c>
      <c r="M269" s="25">
        <f>M268+H269+MAX(0,-E269)</f>
        <v/>
      </c>
      <c r="N269" s="25">
        <f>N268+MAX(0,E269)</f>
        <v/>
      </c>
    </row>
    <row r="270">
      <c r="A270" s="22" t="n">
        <v>269</v>
      </c>
      <c r="B270" s="23">
        <f>propPrice*(1+monthlyAppn)^A270</f>
        <v/>
      </c>
      <c r="C270" s="23">
        <f>IF(A270&gt;=startRentalMonth, initRent*(1+monthlyRentInf)^(A270-1), 0)</f>
        <v/>
      </c>
      <c r="D270" s="23">
        <f>initMaint*(1+monthlyRentInf)^(A270-1)</f>
        <v/>
      </c>
      <c r="E270" s="23">
        <f>C270*(1-vacancyPct)-D270</f>
        <v/>
      </c>
      <c r="F270" s="23">
        <f>I269</f>
        <v/>
      </c>
      <c r="G270" s="23">
        <f>IF(AND(F270&gt;0, A270&lt;=loanMonths), F270*rMonthly, 0)</f>
        <v/>
      </c>
      <c r="H270" s="23">
        <f>IF(AND(F270&gt;0, A270&lt;=loanMonths), EMI, 0)</f>
        <v/>
      </c>
      <c r="I270" s="23">
        <f>IF(AND(F270&gt;0, A270&lt;=loanMonths), MAX(0, F270-MIN(EMI-G270, F270)), F270)</f>
        <v/>
      </c>
      <c r="J270" s="23">
        <f>K269</f>
        <v/>
      </c>
      <c r="K270" s="23">
        <f>J270*(1+mfMo)+H270-E270</f>
        <v/>
      </c>
      <c r="L270" s="23">
        <f>L269+E270</f>
        <v/>
      </c>
      <c r="M270" s="23">
        <f>M269+H270+MAX(0,-E270)</f>
        <v/>
      </c>
      <c r="N270" s="23">
        <f>N269+MAX(0,E270)</f>
        <v/>
      </c>
    </row>
    <row r="271">
      <c r="A271" s="24" t="n">
        <v>270</v>
      </c>
      <c r="B271" s="25">
        <f>propPrice*(1+monthlyAppn)^A271</f>
        <v/>
      </c>
      <c r="C271" s="25">
        <f>IF(A271&gt;=startRentalMonth, initRent*(1+monthlyRentInf)^(A271-1), 0)</f>
        <v/>
      </c>
      <c r="D271" s="25">
        <f>initMaint*(1+monthlyRentInf)^(A271-1)</f>
        <v/>
      </c>
      <c r="E271" s="25">
        <f>C271*(1-vacancyPct)-D271</f>
        <v/>
      </c>
      <c r="F271" s="25">
        <f>I270</f>
        <v/>
      </c>
      <c r="G271" s="25">
        <f>IF(AND(F271&gt;0, A271&lt;=loanMonths), F271*rMonthly, 0)</f>
        <v/>
      </c>
      <c r="H271" s="25">
        <f>IF(AND(F271&gt;0, A271&lt;=loanMonths), EMI, 0)</f>
        <v/>
      </c>
      <c r="I271" s="25">
        <f>IF(AND(F271&gt;0, A271&lt;=loanMonths), MAX(0, F271-MIN(EMI-G271, F271)), F271)</f>
        <v/>
      </c>
      <c r="J271" s="25">
        <f>K270</f>
        <v/>
      </c>
      <c r="K271" s="25">
        <f>J271*(1+mfMo)+H271-E271</f>
        <v/>
      </c>
      <c r="L271" s="25">
        <f>L270+E271</f>
        <v/>
      </c>
      <c r="M271" s="25">
        <f>M270+H271+MAX(0,-E271)</f>
        <v/>
      </c>
      <c r="N271" s="25">
        <f>N270+MAX(0,E271)</f>
        <v/>
      </c>
    </row>
    <row r="272">
      <c r="A272" s="22" t="n">
        <v>271</v>
      </c>
      <c r="B272" s="23">
        <f>propPrice*(1+monthlyAppn)^A272</f>
        <v/>
      </c>
      <c r="C272" s="23">
        <f>IF(A272&gt;=startRentalMonth, initRent*(1+monthlyRentInf)^(A272-1), 0)</f>
        <v/>
      </c>
      <c r="D272" s="23">
        <f>initMaint*(1+monthlyRentInf)^(A272-1)</f>
        <v/>
      </c>
      <c r="E272" s="23">
        <f>C272*(1-vacancyPct)-D272</f>
        <v/>
      </c>
      <c r="F272" s="23">
        <f>I271</f>
        <v/>
      </c>
      <c r="G272" s="23">
        <f>IF(AND(F272&gt;0, A272&lt;=loanMonths), F272*rMonthly, 0)</f>
        <v/>
      </c>
      <c r="H272" s="23">
        <f>IF(AND(F272&gt;0, A272&lt;=loanMonths), EMI, 0)</f>
        <v/>
      </c>
      <c r="I272" s="23">
        <f>IF(AND(F272&gt;0, A272&lt;=loanMonths), MAX(0, F272-MIN(EMI-G272, F272)), F272)</f>
        <v/>
      </c>
      <c r="J272" s="23">
        <f>K271</f>
        <v/>
      </c>
      <c r="K272" s="23">
        <f>J272*(1+mfMo)+H272-E272</f>
        <v/>
      </c>
      <c r="L272" s="23">
        <f>L271+E272</f>
        <v/>
      </c>
      <c r="M272" s="23">
        <f>M271+H272+MAX(0,-E272)</f>
        <v/>
      </c>
      <c r="N272" s="23">
        <f>N271+MAX(0,E272)</f>
        <v/>
      </c>
    </row>
    <row r="273">
      <c r="A273" s="24" t="n">
        <v>272</v>
      </c>
      <c r="B273" s="25">
        <f>propPrice*(1+monthlyAppn)^A273</f>
        <v/>
      </c>
      <c r="C273" s="25">
        <f>IF(A273&gt;=startRentalMonth, initRent*(1+monthlyRentInf)^(A273-1), 0)</f>
        <v/>
      </c>
      <c r="D273" s="25">
        <f>initMaint*(1+monthlyRentInf)^(A273-1)</f>
        <v/>
      </c>
      <c r="E273" s="25">
        <f>C273*(1-vacancyPct)-D273</f>
        <v/>
      </c>
      <c r="F273" s="25">
        <f>I272</f>
        <v/>
      </c>
      <c r="G273" s="25">
        <f>IF(AND(F273&gt;0, A273&lt;=loanMonths), F273*rMonthly, 0)</f>
        <v/>
      </c>
      <c r="H273" s="25">
        <f>IF(AND(F273&gt;0, A273&lt;=loanMonths), EMI, 0)</f>
        <v/>
      </c>
      <c r="I273" s="25">
        <f>IF(AND(F273&gt;0, A273&lt;=loanMonths), MAX(0, F273-MIN(EMI-G273, F273)), F273)</f>
        <v/>
      </c>
      <c r="J273" s="25">
        <f>K272</f>
        <v/>
      </c>
      <c r="K273" s="25">
        <f>J273*(1+mfMo)+H273-E273</f>
        <v/>
      </c>
      <c r="L273" s="25">
        <f>L272+E273</f>
        <v/>
      </c>
      <c r="M273" s="25">
        <f>M272+H273+MAX(0,-E273)</f>
        <v/>
      </c>
      <c r="N273" s="25">
        <f>N272+MAX(0,E273)</f>
        <v/>
      </c>
    </row>
    <row r="274">
      <c r="A274" s="22" t="n">
        <v>273</v>
      </c>
      <c r="B274" s="23">
        <f>propPrice*(1+monthlyAppn)^A274</f>
        <v/>
      </c>
      <c r="C274" s="23">
        <f>IF(A274&gt;=startRentalMonth, initRent*(1+monthlyRentInf)^(A274-1), 0)</f>
        <v/>
      </c>
      <c r="D274" s="23">
        <f>initMaint*(1+monthlyRentInf)^(A274-1)</f>
        <v/>
      </c>
      <c r="E274" s="23">
        <f>C274*(1-vacancyPct)-D274</f>
        <v/>
      </c>
      <c r="F274" s="23">
        <f>I273</f>
        <v/>
      </c>
      <c r="G274" s="23">
        <f>IF(AND(F274&gt;0, A274&lt;=loanMonths), F274*rMonthly, 0)</f>
        <v/>
      </c>
      <c r="H274" s="23">
        <f>IF(AND(F274&gt;0, A274&lt;=loanMonths), EMI, 0)</f>
        <v/>
      </c>
      <c r="I274" s="23">
        <f>IF(AND(F274&gt;0, A274&lt;=loanMonths), MAX(0, F274-MIN(EMI-G274, F274)), F274)</f>
        <v/>
      </c>
      <c r="J274" s="23">
        <f>K273</f>
        <v/>
      </c>
      <c r="K274" s="23">
        <f>J274*(1+mfMo)+H274-E274</f>
        <v/>
      </c>
      <c r="L274" s="23">
        <f>L273+E274</f>
        <v/>
      </c>
      <c r="M274" s="23">
        <f>M273+H274+MAX(0,-E274)</f>
        <v/>
      </c>
      <c r="N274" s="23">
        <f>N273+MAX(0,E274)</f>
        <v/>
      </c>
    </row>
    <row r="275">
      <c r="A275" s="24" t="n">
        <v>274</v>
      </c>
      <c r="B275" s="25">
        <f>propPrice*(1+monthlyAppn)^A275</f>
        <v/>
      </c>
      <c r="C275" s="25">
        <f>IF(A275&gt;=startRentalMonth, initRent*(1+monthlyRentInf)^(A275-1), 0)</f>
        <v/>
      </c>
      <c r="D275" s="25">
        <f>initMaint*(1+monthlyRentInf)^(A275-1)</f>
        <v/>
      </c>
      <c r="E275" s="25">
        <f>C275*(1-vacancyPct)-D275</f>
        <v/>
      </c>
      <c r="F275" s="25">
        <f>I274</f>
        <v/>
      </c>
      <c r="G275" s="25">
        <f>IF(AND(F275&gt;0, A275&lt;=loanMonths), F275*rMonthly, 0)</f>
        <v/>
      </c>
      <c r="H275" s="25">
        <f>IF(AND(F275&gt;0, A275&lt;=loanMonths), EMI, 0)</f>
        <v/>
      </c>
      <c r="I275" s="25">
        <f>IF(AND(F275&gt;0, A275&lt;=loanMonths), MAX(0, F275-MIN(EMI-G275, F275)), F275)</f>
        <v/>
      </c>
      <c r="J275" s="25">
        <f>K274</f>
        <v/>
      </c>
      <c r="K275" s="25">
        <f>J275*(1+mfMo)+H275-E275</f>
        <v/>
      </c>
      <c r="L275" s="25">
        <f>L274+E275</f>
        <v/>
      </c>
      <c r="M275" s="25">
        <f>M274+H275+MAX(0,-E275)</f>
        <v/>
      </c>
      <c r="N275" s="25">
        <f>N274+MAX(0,E275)</f>
        <v/>
      </c>
    </row>
    <row r="276">
      <c r="A276" s="22" t="n">
        <v>275</v>
      </c>
      <c r="B276" s="23">
        <f>propPrice*(1+monthlyAppn)^A276</f>
        <v/>
      </c>
      <c r="C276" s="23">
        <f>IF(A276&gt;=startRentalMonth, initRent*(1+monthlyRentInf)^(A276-1), 0)</f>
        <v/>
      </c>
      <c r="D276" s="23">
        <f>initMaint*(1+monthlyRentInf)^(A276-1)</f>
        <v/>
      </c>
      <c r="E276" s="23">
        <f>C276*(1-vacancyPct)-D276</f>
        <v/>
      </c>
      <c r="F276" s="23">
        <f>I275</f>
        <v/>
      </c>
      <c r="G276" s="23">
        <f>IF(AND(F276&gt;0, A276&lt;=loanMonths), F276*rMonthly, 0)</f>
        <v/>
      </c>
      <c r="H276" s="23">
        <f>IF(AND(F276&gt;0, A276&lt;=loanMonths), EMI, 0)</f>
        <v/>
      </c>
      <c r="I276" s="23">
        <f>IF(AND(F276&gt;0, A276&lt;=loanMonths), MAX(0, F276-MIN(EMI-G276, F276)), F276)</f>
        <v/>
      </c>
      <c r="J276" s="23">
        <f>K275</f>
        <v/>
      </c>
      <c r="K276" s="23">
        <f>J276*(1+mfMo)+H276-E276</f>
        <v/>
      </c>
      <c r="L276" s="23">
        <f>L275+E276</f>
        <v/>
      </c>
      <c r="M276" s="23">
        <f>M275+H276+MAX(0,-E276)</f>
        <v/>
      </c>
      <c r="N276" s="23">
        <f>N275+MAX(0,E276)</f>
        <v/>
      </c>
    </row>
    <row r="277">
      <c r="A277" s="24" t="n">
        <v>276</v>
      </c>
      <c r="B277" s="25">
        <f>propPrice*(1+monthlyAppn)^A277</f>
        <v/>
      </c>
      <c r="C277" s="25">
        <f>IF(A277&gt;=startRentalMonth, initRent*(1+monthlyRentInf)^(A277-1), 0)</f>
        <v/>
      </c>
      <c r="D277" s="25">
        <f>initMaint*(1+monthlyRentInf)^(A277-1)</f>
        <v/>
      </c>
      <c r="E277" s="25">
        <f>C277*(1-vacancyPct)-D277</f>
        <v/>
      </c>
      <c r="F277" s="25">
        <f>I276</f>
        <v/>
      </c>
      <c r="G277" s="25">
        <f>IF(AND(F277&gt;0, A277&lt;=loanMonths), F277*rMonthly, 0)</f>
        <v/>
      </c>
      <c r="H277" s="25">
        <f>IF(AND(F277&gt;0, A277&lt;=loanMonths), EMI, 0)</f>
        <v/>
      </c>
      <c r="I277" s="25">
        <f>IF(AND(F277&gt;0, A277&lt;=loanMonths), MAX(0, F277-MIN(EMI-G277, F277)), F277)</f>
        <v/>
      </c>
      <c r="J277" s="25">
        <f>K276</f>
        <v/>
      </c>
      <c r="K277" s="25">
        <f>J277*(1+mfMo)+H277-E277</f>
        <v/>
      </c>
      <c r="L277" s="25">
        <f>L276+E277</f>
        <v/>
      </c>
      <c r="M277" s="25">
        <f>M276+H277+MAX(0,-E277)</f>
        <v/>
      </c>
      <c r="N277" s="25">
        <f>N276+MAX(0,E277)</f>
        <v/>
      </c>
    </row>
    <row r="278">
      <c r="A278" s="22" t="n">
        <v>277</v>
      </c>
      <c r="B278" s="23">
        <f>propPrice*(1+monthlyAppn)^A278</f>
        <v/>
      </c>
      <c r="C278" s="23">
        <f>IF(A278&gt;=startRentalMonth, initRent*(1+monthlyRentInf)^(A278-1), 0)</f>
        <v/>
      </c>
      <c r="D278" s="23">
        <f>initMaint*(1+monthlyRentInf)^(A278-1)</f>
        <v/>
      </c>
      <c r="E278" s="23">
        <f>C278*(1-vacancyPct)-D278</f>
        <v/>
      </c>
      <c r="F278" s="23">
        <f>I277</f>
        <v/>
      </c>
      <c r="G278" s="23">
        <f>IF(AND(F278&gt;0, A278&lt;=loanMonths), F278*rMonthly, 0)</f>
        <v/>
      </c>
      <c r="H278" s="23">
        <f>IF(AND(F278&gt;0, A278&lt;=loanMonths), EMI, 0)</f>
        <v/>
      </c>
      <c r="I278" s="23">
        <f>IF(AND(F278&gt;0, A278&lt;=loanMonths), MAX(0, F278-MIN(EMI-G278, F278)), F278)</f>
        <v/>
      </c>
      <c r="J278" s="23">
        <f>K277</f>
        <v/>
      </c>
      <c r="K278" s="23">
        <f>J278*(1+mfMo)+H278-E278</f>
        <v/>
      </c>
      <c r="L278" s="23">
        <f>L277+E278</f>
        <v/>
      </c>
      <c r="M278" s="23">
        <f>M277+H278+MAX(0,-E278)</f>
        <v/>
      </c>
      <c r="N278" s="23">
        <f>N277+MAX(0,E278)</f>
        <v/>
      </c>
    </row>
    <row r="279">
      <c r="A279" s="24" t="n">
        <v>278</v>
      </c>
      <c r="B279" s="25">
        <f>propPrice*(1+monthlyAppn)^A279</f>
        <v/>
      </c>
      <c r="C279" s="25">
        <f>IF(A279&gt;=startRentalMonth, initRent*(1+monthlyRentInf)^(A279-1), 0)</f>
        <v/>
      </c>
      <c r="D279" s="25">
        <f>initMaint*(1+monthlyRentInf)^(A279-1)</f>
        <v/>
      </c>
      <c r="E279" s="25">
        <f>C279*(1-vacancyPct)-D279</f>
        <v/>
      </c>
      <c r="F279" s="25">
        <f>I278</f>
        <v/>
      </c>
      <c r="G279" s="25">
        <f>IF(AND(F279&gt;0, A279&lt;=loanMonths), F279*rMonthly, 0)</f>
        <v/>
      </c>
      <c r="H279" s="25">
        <f>IF(AND(F279&gt;0, A279&lt;=loanMonths), EMI, 0)</f>
        <v/>
      </c>
      <c r="I279" s="25">
        <f>IF(AND(F279&gt;0, A279&lt;=loanMonths), MAX(0, F279-MIN(EMI-G279, F279)), F279)</f>
        <v/>
      </c>
      <c r="J279" s="25">
        <f>K278</f>
        <v/>
      </c>
      <c r="K279" s="25">
        <f>J279*(1+mfMo)+H279-E279</f>
        <v/>
      </c>
      <c r="L279" s="25">
        <f>L278+E279</f>
        <v/>
      </c>
      <c r="M279" s="25">
        <f>M278+H279+MAX(0,-E279)</f>
        <v/>
      </c>
      <c r="N279" s="25">
        <f>N278+MAX(0,E279)</f>
        <v/>
      </c>
    </row>
    <row r="280">
      <c r="A280" s="22" t="n">
        <v>279</v>
      </c>
      <c r="B280" s="23">
        <f>propPrice*(1+monthlyAppn)^A280</f>
        <v/>
      </c>
      <c r="C280" s="23">
        <f>IF(A280&gt;=startRentalMonth, initRent*(1+monthlyRentInf)^(A280-1), 0)</f>
        <v/>
      </c>
      <c r="D280" s="23">
        <f>initMaint*(1+monthlyRentInf)^(A280-1)</f>
        <v/>
      </c>
      <c r="E280" s="23">
        <f>C280*(1-vacancyPct)-D280</f>
        <v/>
      </c>
      <c r="F280" s="23">
        <f>I279</f>
        <v/>
      </c>
      <c r="G280" s="23">
        <f>IF(AND(F280&gt;0, A280&lt;=loanMonths), F280*rMonthly, 0)</f>
        <v/>
      </c>
      <c r="H280" s="23">
        <f>IF(AND(F280&gt;0, A280&lt;=loanMonths), EMI, 0)</f>
        <v/>
      </c>
      <c r="I280" s="23">
        <f>IF(AND(F280&gt;0, A280&lt;=loanMonths), MAX(0, F280-MIN(EMI-G280, F280)), F280)</f>
        <v/>
      </c>
      <c r="J280" s="23">
        <f>K279</f>
        <v/>
      </c>
      <c r="K280" s="23">
        <f>J280*(1+mfMo)+H280-E280</f>
        <v/>
      </c>
      <c r="L280" s="23">
        <f>L279+E280</f>
        <v/>
      </c>
      <c r="M280" s="23">
        <f>M279+H280+MAX(0,-E280)</f>
        <v/>
      </c>
      <c r="N280" s="23">
        <f>N279+MAX(0,E280)</f>
        <v/>
      </c>
    </row>
    <row r="281">
      <c r="A281" s="24" t="n">
        <v>280</v>
      </c>
      <c r="B281" s="25">
        <f>propPrice*(1+monthlyAppn)^A281</f>
        <v/>
      </c>
      <c r="C281" s="25">
        <f>IF(A281&gt;=startRentalMonth, initRent*(1+monthlyRentInf)^(A281-1), 0)</f>
        <v/>
      </c>
      <c r="D281" s="25">
        <f>initMaint*(1+monthlyRentInf)^(A281-1)</f>
        <v/>
      </c>
      <c r="E281" s="25">
        <f>C281*(1-vacancyPct)-D281</f>
        <v/>
      </c>
      <c r="F281" s="25">
        <f>I280</f>
        <v/>
      </c>
      <c r="G281" s="25">
        <f>IF(AND(F281&gt;0, A281&lt;=loanMonths), F281*rMonthly, 0)</f>
        <v/>
      </c>
      <c r="H281" s="25">
        <f>IF(AND(F281&gt;0, A281&lt;=loanMonths), EMI, 0)</f>
        <v/>
      </c>
      <c r="I281" s="25">
        <f>IF(AND(F281&gt;0, A281&lt;=loanMonths), MAX(0, F281-MIN(EMI-G281, F281)), F281)</f>
        <v/>
      </c>
      <c r="J281" s="25">
        <f>K280</f>
        <v/>
      </c>
      <c r="K281" s="25">
        <f>J281*(1+mfMo)+H281-E281</f>
        <v/>
      </c>
      <c r="L281" s="25">
        <f>L280+E281</f>
        <v/>
      </c>
      <c r="M281" s="25">
        <f>M280+H281+MAX(0,-E281)</f>
        <v/>
      </c>
      <c r="N281" s="25">
        <f>N280+MAX(0,E281)</f>
        <v/>
      </c>
    </row>
    <row r="282">
      <c r="A282" s="22" t="n">
        <v>281</v>
      </c>
      <c r="B282" s="23">
        <f>propPrice*(1+monthlyAppn)^A282</f>
        <v/>
      </c>
      <c r="C282" s="23">
        <f>IF(A282&gt;=startRentalMonth, initRent*(1+monthlyRentInf)^(A282-1), 0)</f>
        <v/>
      </c>
      <c r="D282" s="23">
        <f>initMaint*(1+monthlyRentInf)^(A282-1)</f>
        <v/>
      </c>
      <c r="E282" s="23">
        <f>C282*(1-vacancyPct)-D282</f>
        <v/>
      </c>
      <c r="F282" s="23">
        <f>I281</f>
        <v/>
      </c>
      <c r="G282" s="23">
        <f>IF(AND(F282&gt;0, A282&lt;=loanMonths), F282*rMonthly, 0)</f>
        <v/>
      </c>
      <c r="H282" s="23">
        <f>IF(AND(F282&gt;0, A282&lt;=loanMonths), EMI, 0)</f>
        <v/>
      </c>
      <c r="I282" s="23">
        <f>IF(AND(F282&gt;0, A282&lt;=loanMonths), MAX(0, F282-MIN(EMI-G282, F282)), F282)</f>
        <v/>
      </c>
      <c r="J282" s="23">
        <f>K281</f>
        <v/>
      </c>
      <c r="K282" s="23">
        <f>J282*(1+mfMo)+H282-E282</f>
        <v/>
      </c>
      <c r="L282" s="23">
        <f>L281+E282</f>
        <v/>
      </c>
      <c r="M282" s="23">
        <f>M281+H282+MAX(0,-E282)</f>
        <v/>
      </c>
      <c r="N282" s="23">
        <f>N281+MAX(0,E282)</f>
        <v/>
      </c>
    </row>
    <row r="283">
      <c r="A283" s="24" t="n">
        <v>282</v>
      </c>
      <c r="B283" s="25">
        <f>propPrice*(1+monthlyAppn)^A283</f>
        <v/>
      </c>
      <c r="C283" s="25">
        <f>IF(A283&gt;=startRentalMonth, initRent*(1+monthlyRentInf)^(A283-1), 0)</f>
        <v/>
      </c>
      <c r="D283" s="25">
        <f>initMaint*(1+monthlyRentInf)^(A283-1)</f>
        <v/>
      </c>
      <c r="E283" s="25">
        <f>C283*(1-vacancyPct)-D283</f>
        <v/>
      </c>
      <c r="F283" s="25">
        <f>I282</f>
        <v/>
      </c>
      <c r="G283" s="25">
        <f>IF(AND(F283&gt;0, A283&lt;=loanMonths), F283*rMonthly, 0)</f>
        <v/>
      </c>
      <c r="H283" s="25">
        <f>IF(AND(F283&gt;0, A283&lt;=loanMonths), EMI, 0)</f>
        <v/>
      </c>
      <c r="I283" s="25">
        <f>IF(AND(F283&gt;0, A283&lt;=loanMonths), MAX(0, F283-MIN(EMI-G283, F283)), F283)</f>
        <v/>
      </c>
      <c r="J283" s="25">
        <f>K282</f>
        <v/>
      </c>
      <c r="K283" s="25">
        <f>J283*(1+mfMo)+H283-E283</f>
        <v/>
      </c>
      <c r="L283" s="25">
        <f>L282+E283</f>
        <v/>
      </c>
      <c r="M283" s="25">
        <f>M282+H283+MAX(0,-E283)</f>
        <v/>
      </c>
      <c r="N283" s="25">
        <f>N282+MAX(0,E283)</f>
        <v/>
      </c>
    </row>
    <row r="284">
      <c r="A284" s="22" t="n">
        <v>283</v>
      </c>
      <c r="B284" s="23">
        <f>propPrice*(1+monthlyAppn)^A284</f>
        <v/>
      </c>
      <c r="C284" s="23">
        <f>IF(A284&gt;=startRentalMonth, initRent*(1+monthlyRentInf)^(A284-1), 0)</f>
        <v/>
      </c>
      <c r="D284" s="23">
        <f>initMaint*(1+monthlyRentInf)^(A284-1)</f>
        <v/>
      </c>
      <c r="E284" s="23">
        <f>C284*(1-vacancyPct)-D284</f>
        <v/>
      </c>
      <c r="F284" s="23">
        <f>I283</f>
        <v/>
      </c>
      <c r="G284" s="23">
        <f>IF(AND(F284&gt;0, A284&lt;=loanMonths), F284*rMonthly, 0)</f>
        <v/>
      </c>
      <c r="H284" s="23">
        <f>IF(AND(F284&gt;0, A284&lt;=loanMonths), EMI, 0)</f>
        <v/>
      </c>
      <c r="I284" s="23">
        <f>IF(AND(F284&gt;0, A284&lt;=loanMonths), MAX(0, F284-MIN(EMI-G284, F284)), F284)</f>
        <v/>
      </c>
      <c r="J284" s="23">
        <f>K283</f>
        <v/>
      </c>
      <c r="K284" s="23">
        <f>J284*(1+mfMo)+H284-E284</f>
        <v/>
      </c>
      <c r="L284" s="23">
        <f>L283+E284</f>
        <v/>
      </c>
      <c r="M284" s="23">
        <f>M283+H284+MAX(0,-E284)</f>
        <v/>
      </c>
      <c r="N284" s="23">
        <f>N283+MAX(0,E284)</f>
        <v/>
      </c>
    </row>
    <row r="285">
      <c r="A285" s="24" t="n">
        <v>284</v>
      </c>
      <c r="B285" s="25">
        <f>propPrice*(1+monthlyAppn)^A285</f>
        <v/>
      </c>
      <c r="C285" s="25">
        <f>IF(A285&gt;=startRentalMonth, initRent*(1+monthlyRentInf)^(A285-1), 0)</f>
        <v/>
      </c>
      <c r="D285" s="25">
        <f>initMaint*(1+monthlyRentInf)^(A285-1)</f>
        <v/>
      </c>
      <c r="E285" s="25">
        <f>C285*(1-vacancyPct)-D285</f>
        <v/>
      </c>
      <c r="F285" s="25">
        <f>I284</f>
        <v/>
      </c>
      <c r="G285" s="25">
        <f>IF(AND(F285&gt;0, A285&lt;=loanMonths), F285*rMonthly, 0)</f>
        <v/>
      </c>
      <c r="H285" s="25">
        <f>IF(AND(F285&gt;0, A285&lt;=loanMonths), EMI, 0)</f>
        <v/>
      </c>
      <c r="I285" s="25">
        <f>IF(AND(F285&gt;0, A285&lt;=loanMonths), MAX(0, F285-MIN(EMI-G285, F285)), F285)</f>
        <v/>
      </c>
      <c r="J285" s="25">
        <f>K284</f>
        <v/>
      </c>
      <c r="K285" s="25">
        <f>J285*(1+mfMo)+H285-E285</f>
        <v/>
      </c>
      <c r="L285" s="25">
        <f>L284+E285</f>
        <v/>
      </c>
      <c r="M285" s="25">
        <f>M284+H285+MAX(0,-E285)</f>
        <v/>
      </c>
      <c r="N285" s="25">
        <f>N284+MAX(0,E285)</f>
        <v/>
      </c>
    </row>
    <row r="286">
      <c r="A286" s="22" t="n">
        <v>285</v>
      </c>
      <c r="B286" s="23">
        <f>propPrice*(1+monthlyAppn)^A286</f>
        <v/>
      </c>
      <c r="C286" s="23">
        <f>IF(A286&gt;=startRentalMonth, initRent*(1+monthlyRentInf)^(A286-1), 0)</f>
        <v/>
      </c>
      <c r="D286" s="23">
        <f>initMaint*(1+monthlyRentInf)^(A286-1)</f>
        <v/>
      </c>
      <c r="E286" s="23">
        <f>C286*(1-vacancyPct)-D286</f>
        <v/>
      </c>
      <c r="F286" s="23">
        <f>I285</f>
        <v/>
      </c>
      <c r="G286" s="23">
        <f>IF(AND(F286&gt;0, A286&lt;=loanMonths), F286*rMonthly, 0)</f>
        <v/>
      </c>
      <c r="H286" s="23">
        <f>IF(AND(F286&gt;0, A286&lt;=loanMonths), EMI, 0)</f>
        <v/>
      </c>
      <c r="I286" s="23">
        <f>IF(AND(F286&gt;0, A286&lt;=loanMonths), MAX(0, F286-MIN(EMI-G286, F286)), F286)</f>
        <v/>
      </c>
      <c r="J286" s="23">
        <f>K285</f>
        <v/>
      </c>
      <c r="K286" s="23">
        <f>J286*(1+mfMo)+H286-E286</f>
        <v/>
      </c>
      <c r="L286" s="23">
        <f>L285+E286</f>
        <v/>
      </c>
      <c r="M286" s="23">
        <f>M285+H286+MAX(0,-E286)</f>
        <v/>
      </c>
      <c r="N286" s="23">
        <f>N285+MAX(0,E286)</f>
        <v/>
      </c>
    </row>
    <row r="287">
      <c r="A287" s="24" t="n">
        <v>286</v>
      </c>
      <c r="B287" s="25">
        <f>propPrice*(1+monthlyAppn)^A287</f>
        <v/>
      </c>
      <c r="C287" s="25">
        <f>IF(A287&gt;=startRentalMonth, initRent*(1+monthlyRentInf)^(A287-1), 0)</f>
        <v/>
      </c>
      <c r="D287" s="25">
        <f>initMaint*(1+monthlyRentInf)^(A287-1)</f>
        <v/>
      </c>
      <c r="E287" s="25">
        <f>C287*(1-vacancyPct)-D287</f>
        <v/>
      </c>
      <c r="F287" s="25">
        <f>I286</f>
        <v/>
      </c>
      <c r="G287" s="25">
        <f>IF(AND(F287&gt;0, A287&lt;=loanMonths), F287*rMonthly, 0)</f>
        <v/>
      </c>
      <c r="H287" s="25">
        <f>IF(AND(F287&gt;0, A287&lt;=loanMonths), EMI, 0)</f>
        <v/>
      </c>
      <c r="I287" s="25">
        <f>IF(AND(F287&gt;0, A287&lt;=loanMonths), MAX(0, F287-MIN(EMI-G287, F287)), F287)</f>
        <v/>
      </c>
      <c r="J287" s="25">
        <f>K286</f>
        <v/>
      </c>
      <c r="K287" s="25">
        <f>J287*(1+mfMo)+H287-E287</f>
        <v/>
      </c>
      <c r="L287" s="25">
        <f>L286+E287</f>
        <v/>
      </c>
      <c r="M287" s="25">
        <f>M286+H287+MAX(0,-E287)</f>
        <v/>
      </c>
      <c r="N287" s="25">
        <f>N286+MAX(0,E287)</f>
        <v/>
      </c>
    </row>
    <row r="288">
      <c r="A288" s="22" t="n">
        <v>287</v>
      </c>
      <c r="B288" s="23">
        <f>propPrice*(1+monthlyAppn)^A288</f>
        <v/>
      </c>
      <c r="C288" s="23">
        <f>IF(A288&gt;=startRentalMonth, initRent*(1+monthlyRentInf)^(A288-1), 0)</f>
        <v/>
      </c>
      <c r="D288" s="23">
        <f>initMaint*(1+monthlyRentInf)^(A288-1)</f>
        <v/>
      </c>
      <c r="E288" s="23">
        <f>C288*(1-vacancyPct)-D288</f>
        <v/>
      </c>
      <c r="F288" s="23">
        <f>I287</f>
        <v/>
      </c>
      <c r="G288" s="23">
        <f>IF(AND(F288&gt;0, A288&lt;=loanMonths), F288*rMonthly, 0)</f>
        <v/>
      </c>
      <c r="H288" s="23">
        <f>IF(AND(F288&gt;0, A288&lt;=loanMonths), EMI, 0)</f>
        <v/>
      </c>
      <c r="I288" s="23">
        <f>IF(AND(F288&gt;0, A288&lt;=loanMonths), MAX(0, F288-MIN(EMI-G288, F288)), F288)</f>
        <v/>
      </c>
      <c r="J288" s="23">
        <f>K287</f>
        <v/>
      </c>
      <c r="K288" s="23">
        <f>J288*(1+mfMo)+H288-E288</f>
        <v/>
      </c>
      <c r="L288" s="23">
        <f>L287+E288</f>
        <v/>
      </c>
      <c r="M288" s="23">
        <f>M287+H288+MAX(0,-E288)</f>
        <v/>
      </c>
      <c r="N288" s="23">
        <f>N287+MAX(0,E288)</f>
        <v/>
      </c>
    </row>
    <row r="289">
      <c r="A289" s="24" t="n">
        <v>288</v>
      </c>
      <c r="B289" s="25">
        <f>propPrice*(1+monthlyAppn)^A289</f>
        <v/>
      </c>
      <c r="C289" s="25">
        <f>IF(A289&gt;=startRentalMonth, initRent*(1+monthlyRentInf)^(A289-1), 0)</f>
        <v/>
      </c>
      <c r="D289" s="25">
        <f>initMaint*(1+monthlyRentInf)^(A289-1)</f>
        <v/>
      </c>
      <c r="E289" s="25">
        <f>C289*(1-vacancyPct)-D289</f>
        <v/>
      </c>
      <c r="F289" s="25">
        <f>I288</f>
        <v/>
      </c>
      <c r="G289" s="25">
        <f>IF(AND(F289&gt;0, A289&lt;=loanMonths), F289*rMonthly, 0)</f>
        <v/>
      </c>
      <c r="H289" s="25">
        <f>IF(AND(F289&gt;0, A289&lt;=loanMonths), EMI, 0)</f>
        <v/>
      </c>
      <c r="I289" s="25">
        <f>IF(AND(F289&gt;0, A289&lt;=loanMonths), MAX(0, F289-MIN(EMI-G289, F289)), F289)</f>
        <v/>
      </c>
      <c r="J289" s="25">
        <f>K288</f>
        <v/>
      </c>
      <c r="K289" s="25">
        <f>J289*(1+mfMo)+H289-E289</f>
        <v/>
      </c>
      <c r="L289" s="25">
        <f>L288+E289</f>
        <v/>
      </c>
      <c r="M289" s="25">
        <f>M288+H289+MAX(0,-E289)</f>
        <v/>
      </c>
      <c r="N289" s="25">
        <f>N288+MAX(0,E289)</f>
        <v/>
      </c>
    </row>
    <row r="290">
      <c r="A290" s="22" t="n">
        <v>289</v>
      </c>
      <c r="B290" s="23">
        <f>propPrice*(1+monthlyAppn)^A290</f>
        <v/>
      </c>
      <c r="C290" s="23">
        <f>IF(A290&gt;=startRentalMonth, initRent*(1+monthlyRentInf)^(A290-1), 0)</f>
        <v/>
      </c>
      <c r="D290" s="23">
        <f>initMaint*(1+monthlyRentInf)^(A290-1)</f>
        <v/>
      </c>
      <c r="E290" s="23">
        <f>C290*(1-vacancyPct)-D290</f>
        <v/>
      </c>
      <c r="F290" s="23">
        <f>I289</f>
        <v/>
      </c>
      <c r="G290" s="23">
        <f>IF(AND(F290&gt;0, A290&lt;=loanMonths), F290*rMonthly, 0)</f>
        <v/>
      </c>
      <c r="H290" s="23">
        <f>IF(AND(F290&gt;0, A290&lt;=loanMonths), EMI, 0)</f>
        <v/>
      </c>
      <c r="I290" s="23">
        <f>IF(AND(F290&gt;0, A290&lt;=loanMonths), MAX(0, F290-MIN(EMI-G290, F290)), F290)</f>
        <v/>
      </c>
      <c r="J290" s="23">
        <f>K289</f>
        <v/>
      </c>
      <c r="K290" s="23">
        <f>J290*(1+mfMo)+H290-E290</f>
        <v/>
      </c>
      <c r="L290" s="23">
        <f>L289+E290</f>
        <v/>
      </c>
      <c r="M290" s="23">
        <f>M289+H290+MAX(0,-E290)</f>
        <v/>
      </c>
      <c r="N290" s="23">
        <f>N289+MAX(0,E290)</f>
        <v/>
      </c>
    </row>
    <row r="291">
      <c r="A291" s="24" t="n">
        <v>290</v>
      </c>
      <c r="B291" s="25">
        <f>propPrice*(1+monthlyAppn)^A291</f>
        <v/>
      </c>
      <c r="C291" s="25">
        <f>IF(A291&gt;=startRentalMonth, initRent*(1+monthlyRentInf)^(A291-1), 0)</f>
        <v/>
      </c>
      <c r="D291" s="25">
        <f>initMaint*(1+monthlyRentInf)^(A291-1)</f>
        <v/>
      </c>
      <c r="E291" s="25">
        <f>C291*(1-vacancyPct)-D291</f>
        <v/>
      </c>
      <c r="F291" s="25">
        <f>I290</f>
        <v/>
      </c>
      <c r="G291" s="25">
        <f>IF(AND(F291&gt;0, A291&lt;=loanMonths), F291*rMonthly, 0)</f>
        <v/>
      </c>
      <c r="H291" s="25">
        <f>IF(AND(F291&gt;0, A291&lt;=loanMonths), EMI, 0)</f>
        <v/>
      </c>
      <c r="I291" s="25">
        <f>IF(AND(F291&gt;0, A291&lt;=loanMonths), MAX(0, F291-MIN(EMI-G291, F291)), F291)</f>
        <v/>
      </c>
      <c r="J291" s="25">
        <f>K290</f>
        <v/>
      </c>
      <c r="K291" s="25">
        <f>J291*(1+mfMo)+H291-E291</f>
        <v/>
      </c>
      <c r="L291" s="25">
        <f>L290+E291</f>
        <v/>
      </c>
      <c r="M291" s="25">
        <f>M290+H291+MAX(0,-E291)</f>
        <v/>
      </c>
      <c r="N291" s="25">
        <f>N290+MAX(0,E291)</f>
        <v/>
      </c>
    </row>
    <row r="292">
      <c r="A292" s="22" t="n">
        <v>291</v>
      </c>
      <c r="B292" s="23">
        <f>propPrice*(1+monthlyAppn)^A292</f>
        <v/>
      </c>
      <c r="C292" s="23">
        <f>IF(A292&gt;=startRentalMonth, initRent*(1+monthlyRentInf)^(A292-1), 0)</f>
        <v/>
      </c>
      <c r="D292" s="23">
        <f>initMaint*(1+monthlyRentInf)^(A292-1)</f>
        <v/>
      </c>
      <c r="E292" s="23">
        <f>C292*(1-vacancyPct)-D292</f>
        <v/>
      </c>
      <c r="F292" s="23">
        <f>I291</f>
        <v/>
      </c>
      <c r="G292" s="23">
        <f>IF(AND(F292&gt;0, A292&lt;=loanMonths), F292*rMonthly, 0)</f>
        <v/>
      </c>
      <c r="H292" s="23">
        <f>IF(AND(F292&gt;0, A292&lt;=loanMonths), EMI, 0)</f>
        <v/>
      </c>
      <c r="I292" s="23">
        <f>IF(AND(F292&gt;0, A292&lt;=loanMonths), MAX(0, F292-MIN(EMI-G292, F292)), F292)</f>
        <v/>
      </c>
      <c r="J292" s="23">
        <f>K291</f>
        <v/>
      </c>
      <c r="K292" s="23">
        <f>J292*(1+mfMo)+H292-E292</f>
        <v/>
      </c>
      <c r="L292" s="23">
        <f>L291+E292</f>
        <v/>
      </c>
      <c r="M292" s="23">
        <f>M291+H292+MAX(0,-E292)</f>
        <v/>
      </c>
      <c r="N292" s="23">
        <f>N291+MAX(0,E292)</f>
        <v/>
      </c>
    </row>
    <row r="293">
      <c r="A293" s="24" t="n">
        <v>292</v>
      </c>
      <c r="B293" s="25">
        <f>propPrice*(1+monthlyAppn)^A293</f>
        <v/>
      </c>
      <c r="C293" s="25">
        <f>IF(A293&gt;=startRentalMonth, initRent*(1+monthlyRentInf)^(A293-1), 0)</f>
        <v/>
      </c>
      <c r="D293" s="25">
        <f>initMaint*(1+monthlyRentInf)^(A293-1)</f>
        <v/>
      </c>
      <c r="E293" s="25">
        <f>C293*(1-vacancyPct)-D293</f>
        <v/>
      </c>
      <c r="F293" s="25">
        <f>I292</f>
        <v/>
      </c>
      <c r="G293" s="25">
        <f>IF(AND(F293&gt;0, A293&lt;=loanMonths), F293*rMonthly, 0)</f>
        <v/>
      </c>
      <c r="H293" s="25">
        <f>IF(AND(F293&gt;0, A293&lt;=loanMonths), EMI, 0)</f>
        <v/>
      </c>
      <c r="I293" s="25">
        <f>IF(AND(F293&gt;0, A293&lt;=loanMonths), MAX(0, F293-MIN(EMI-G293, F293)), F293)</f>
        <v/>
      </c>
      <c r="J293" s="25">
        <f>K292</f>
        <v/>
      </c>
      <c r="K293" s="25">
        <f>J293*(1+mfMo)+H293-E293</f>
        <v/>
      </c>
      <c r="L293" s="25">
        <f>L292+E293</f>
        <v/>
      </c>
      <c r="M293" s="25">
        <f>M292+H293+MAX(0,-E293)</f>
        <v/>
      </c>
      <c r="N293" s="25">
        <f>N292+MAX(0,E293)</f>
        <v/>
      </c>
    </row>
    <row r="294">
      <c r="A294" s="22" t="n">
        <v>293</v>
      </c>
      <c r="B294" s="23">
        <f>propPrice*(1+monthlyAppn)^A294</f>
        <v/>
      </c>
      <c r="C294" s="23">
        <f>IF(A294&gt;=startRentalMonth, initRent*(1+monthlyRentInf)^(A294-1), 0)</f>
        <v/>
      </c>
      <c r="D294" s="23">
        <f>initMaint*(1+monthlyRentInf)^(A294-1)</f>
        <v/>
      </c>
      <c r="E294" s="23">
        <f>C294*(1-vacancyPct)-D294</f>
        <v/>
      </c>
      <c r="F294" s="23">
        <f>I293</f>
        <v/>
      </c>
      <c r="G294" s="23">
        <f>IF(AND(F294&gt;0, A294&lt;=loanMonths), F294*rMonthly, 0)</f>
        <v/>
      </c>
      <c r="H294" s="23">
        <f>IF(AND(F294&gt;0, A294&lt;=loanMonths), EMI, 0)</f>
        <v/>
      </c>
      <c r="I294" s="23">
        <f>IF(AND(F294&gt;0, A294&lt;=loanMonths), MAX(0, F294-MIN(EMI-G294, F294)), F294)</f>
        <v/>
      </c>
      <c r="J294" s="23">
        <f>K293</f>
        <v/>
      </c>
      <c r="K294" s="23">
        <f>J294*(1+mfMo)+H294-E294</f>
        <v/>
      </c>
      <c r="L294" s="23">
        <f>L293+E294</f>
        <v/>
      </c>
      <c r="M294" s="23">
        <f>M293+H294+MAX(0,-E294)</f>
        <v/>
      </c>
      <c r="N294" s="23">
        <f>N293+MAX(0,E294)</f>
        <v/>
      </c>
    </row>
    <row r="295">
      <c r="A295" s="24" t="n">
        <v>294</v>
      </c>
      <c r="B295" s="25">
        <f>propPrice*(1+monthlyAppn)^A295</f>
        <v/>
      </c>
      <c r="C295" s="25">
        <f>IF(A295&gt;=startRentalMonth, initRent*(1+monthlyRentInf)^(A295-1), 0)</f>
        <v/>
      </c>
      <c r="D295" s="25">
        <f>initMaint*(1+monthlyRentInf)^(A295-1)</f>
        <v/>
      </c>
      <c r="E295" s="25">
        <f>C295*(1-vacancyPct)-D295</f>
        <v/>
      </c>
      <c r="F295" s="25">
        <f>I294</f>
        <v/>
      </c>
      <c r="G295" s="25">
        <f>IF(AND(F295&gt;0, A295&lt;=loanMonths), F295*rMonthly, 0)</f>
        <v/>
      </c>
      <c r="H295" s="25">
        <f>IF(AND(F295&gt;0, A295&lt;=loanMonths), EMI, 0)</f>
        <v/>
      </c>
      <c r="I295" s="25">
        <f>IF(AND(F295&gt;0, A295&lt;=loanMonths), MAX(0, F295-MIN(EMI-G295, F295)), F295)</f>
        <v/>
      </c>
      <c r="J295" s="25">
        <f>K294</f>
        <v/>
      </c>
      <c r="K295" s="25">
        <f>J295*(1+mfMo)+H295-E295</f>
        <v/>
      </c>
      <c r="L295" s="25">
        <f>L294+E295</f>
        <v/>
      </c>
      <c r="M295" s="25">
        <f>M294+H295+MAX(0,-E295)</f>
        <v/>
      </c>
      <c r="N295" s="25">
        <f>N294+MAX(0,E295)</f>
        <v/>
      </c>
    </row>
    <row r="296">
      <c r="A296" s="22" t="n">
        <v>295</v>
      </c>
      <c r="B296" s="23">
        <f>propPrice*(1+monthlyAppn)^A296</f>
        <v/>
      </c>
      <c r="C296" s="23">
        <f>IF(A296&gt;=startRentalMonth, initRent*(1+monthlyRentInf)^(A296-1), 0)</f>
        <v/>
      </c>
      <c r="D296" s="23">
        <f>initMaint*(1+monthlyRentInf)^(A296-1)</f>
        <v/>
      </c>
      <c r="E296" s="23">
        <f>C296*(1-vacancyPct)-D296</f>
        <v/>
      </c>
      <c r="F296" s="23">
        <f>I295</f>
        <v/>
      </c>
      <c r="G296" s="23">
        <f>IF(AND(F296&gt;0, A296&lt;=loanMonths), F296*rMonthly, 0)</f>
        <v/>
      </c>
      <c r="H296" s="23">
        <f>IF(AND(F296&gt;0, A296&lt;=loanMonths), EMI, 0)</f>
        <v/>
      </c>
      <c r="I296" s="23">
        <f>IF(AND(F296&gt;0, A296&lt;=loanMonths), MAX(0, F296-MIN(EMI-G296, F296)), F296)</f>
        <v/>
      </c>
      <c r="J296" s="23">
        <f>K295</f>
        <v/>
      </c>
      <c r="K296" s="23">
        <f>J296*(1+mfMo)+H296-E296</f>
        <v/>
      </c>
      <c r="L296" s="23">
        <f>L295+E296</f>
        <v/>
      </c>
      <c r="M296" s="23">
        <f>M295+H296+MAX(0,-E296)</f>
        <v/>
      </c>
      <c r="N296" s="23">
        <f>N295+MAX(0,E296)</f>
        <v/>
      </c>
    </row>
    <row r="297">
      <c r="A297" s="24" t="n">
        <v>296</v>
      </c>
      <c r="B297" s="25">
        <f>propPrice*(1+monthlyAppn)^A297</f>
        <v/>
      </c>
      <c r="C297" s="25">
        <f>IF(A297&gt;=startRentalMonth, initRent*(1+monthlyRentInf)^(A297-1), 0)</f>
        <v/>
      </c>
      <c r="D297" s="25">
        <f>initMaint*(1+monthlyRentInf)^(A297-1)</f>
        <v/>
      </c>
      <c r="E297" s="25">
        <f>C297*(1-vacancyPct)-D297</f>
        <v/>
      </c>
      <c r="F297" s="25">
        <f>I296</f>
        <v/>
      </c>
      <c r="G297" s="25">
        <f>IF(AND(F297&gt;0, A297&lt;=loanMonths), F297*rMonthly, 0)</f>
        <v/>
      </c>
      <c r="H297" s="25">
        <f>IF(AND(F297&gt;0, A297&lt;=loanMonths), EMI, 0)</f>
        <v/>
      </c>
      <c r="I297" s="25">
        <f>IF(AND(F297&gt;0, A297&lt;=loanMonths), MAX(0, F297-MIN(EMI-G297, F297)), F297)</f>
        <v/>
      </c>
      <c r="J297" s="25">
        <f>K296</f>
        <v/>
      </c>
      <c r="K297" s="25">
        <f>J297*(1+mfMo)+H297-E297</f>
        <v/>
      </c>
      <c r="L297" s="25">
        <f>L296+E297</f>
        <v/>
      </c>
      <c r="M297" s="25">
        <f>M296+H297+MAX(0,-E297)</f>
        <v/>
      </c>
      <c r="N297" s="25">
        <f>N296+MAX(0,E297)</f>
        <v/>
      </c>
    </row>
    <row r="298">
      <c r="A298" s="22" t="n">
        <v>297</v>
      </c>
      <c r="B298" s="23">
        <f>propPrice*(1+monthlyAppn)^A298</f>
        <v/>
      </c>
      <c r="C298" s="23">
        <f>IF(A298&gt;=startRentalMonth, initRent*(1+monthlyRentInf)^(A298-1), 0)</f>
        <v/>
      </c>
      <c r="D298" s="23">
        <f>initMaint*(1+monthlyRentInf)^(A298-1)</f>
        <v/>
      </c>
      <c r="E298" s="23">
        <f>C298*(1-vacancyPct)-D298</f>
        <v/>
      </c>
      <c r="F298" s="23">
        <f>I297</f>
        <v/>
      </c>
      <c r="G298" s="23">
        <f>IF(AND(F298&gt;0, A298&lt;=loanMonths), F298*rMonthly, 0)</f>
        <v/>
      </c>
      <c r="H298" s="23">
        <f>IF(AND(F298&gt;0, A298&lt;=loanMonths), EMI, 0)</f>
        <v/>
      </c>
      <c r="I298" s="23">
        <f>IF(AND(F298&gt;0, A298&lt;=loanMonths), MAX(0, F298-MIN(EMI-G298, F298)), F298)</f>
        <v/>
      </c>
      <c r="J298" s="23">
        <f>K297</f>
        <v/>
      </c>
      <c r="K298" s="23">
        <f>J298*(1+mfMo)+H298-E298</f>
        <v/>
      </c>
      <c r="L298" s="23">
        <f>L297+E298</f>
        <v/>
      </c>
      <c r="M298" s="23">
        <f>M297+H298+MAX(0,-E298)</f>
        <v/>
      </c>
      <c r="N298" s="23">
        <f>N297+MAX(0,E298)</f>
        <v/>
      </c>
    </row>
    <row r="299">
      <c r="A299" s="24" t="n">
        <v>298</v>
      </c>
      <c r="B299" s="25">
        <f>propPrice*(1+monthlyAppn)^A299</f>
        <v/>
      </c>
      <c r="C299" s="25">
        <f>IF(A299&gt;=startRentalMonth, initRent*(1+monthlyRentInf)^(A299-1), 0)</f>
        <v/>
      </c>
      <c r="D299" s="25">
        <f>initMaint*(1+monthlyRentInf)^(A299-1)</f>
        <v/>
      </c>
      <c r="E299" s="25">
        <f>C299*(1-vacancyPct)-D299</f>
        <v/>
      </c>
      <c r="F299" s="25">
        <f>I298</f>
        <v/>
      </c>
      <c r="G299" s="25">
        <f>IF(AND(F299&gt;0, A299&lt;=loanMonths), F299*rMonthly, 0)</f>
        <v/>
      </c>
      <c r="H299" s="25">
        <f>IF(AND(F299&gt;0, A299&lt;=loanMonths), EMI, 0)</f>
        <v/>
      </c>
      <c r="I299" s="25">
        <f>IF(AND(F299&gt;0, A299&lt;=loanMonths), MAX(0, F299-MIN(EMI-G299, F299)), F299)</f>
        <v/>
      </c>
      <c r="J299" s="25">
        <f>K298</f>
        <v/>
      </c>
      <c r="K299" s="25">
        <f>J299*(1+mfMo)+H299-E299</f>
        <v/>
      </c>
      <c r="L299" s="25">
        <f>L298+E299</f>
        <v/>
      </c>
      <c r="M299" s="25">
        <f>M298+H299+MAX(0,-E299)</f>
        <v/>
      </c>
      <c r="N299" s="25">
        <f>N298+MAX(0,E299)</f>
        <v/>
      </c>
    </row>
    <row r="300">
      <c r="A300" s="22" t="n">
        <v>299</v>
      </c>
      <c r="B300" s="23">
        <f>propPrice*(1+monthlyAppn)^A300</f>
        <v/>
      </c>
      <c r="C300" s="23">
        <f>IF(A300&gt;=startRentalMonth, initRent*(1+monthlyRentInf)^(A300-1), 0)</f>
        <v/>
      </c>
      <c r="D300" s="23">
        <f>initMaint*(1+monthlyRentInf)^(A300-1)</f>
        <v/>
      </c>
      <c r="E300" s="23">
        <f>C300*(1-vacancyPct)-D300</f>
        <v/>
      </c>
      <c r="F300" s="23">
        <f>I299</f>
        <v/>
      </c>
      <c r="G300" s="23">
        <f>IF(AND(F300&gt;0, A300&lt;=loanMonths), F300*rMonthly, 0)</f>
        <v/>
      </c>
      <c r="H300" s="23">
        <f>IF(AND(F300&gt;0, A300&lt;=loanMonths), EMI, 0)</f>
        <v/>
      </c>
      <c r="I300" s="23">
        <f>IF(AND(F300&gt;0, A300&lt;=loanMonths), MAX(0, F300-MIN(EMI-G300, F300)), F300)</f>
        <v/>
      </c>
      <c r="J300" s="23">
        <f>K299</f>
        <v/>
      </c>
      <c r="K300" s="23">
        <f>J300*(1+mfMo)+H300-E300</f>
        <v/>
      </c>
      <c r="L300" s="23">
        <f>L299+E300</f>
        <v/>
      </c>
      <c r="M300" s="23">
        <f>M299+H300+MAX(0,-E300)</f>
        <v/>
      </c>
      <c r="N300" s="23">
        <f>N299+MAX(0,E300)</f>
        <v/>
      </c>
    </row>
    <row r="301">
      <c r="A301" s="24" t="n">
        <v>300</v>
      </c>
      <c r="B301" s="25">
        <f>propPrice*(1+monthlyAppn)^A301</f>
        <v/>
      </c>
      <c r="C301" s="25">
        <f>IF(A301&gt;=startRentalMonth, initRent*(1+monthlyRentInf)^(A301-1), 0)</f>
        <v/>
      </c>
      <c r="D301" s="25">
        <f>initMaint*(1+monthlyRentInf)^(A301-1)</f>
        <v/>
      </c>
      <c r="E301" s="25">
        <f>C301*(1-vacancyPct)-D301</f>
        <v/>
      </c>
      <c r="F301" s="25">
        <f>I300</f>
        <v/>
      </c>
      <c r="G301" s="25">
        <f>IF(AND(F301&gt;0, A301&lt;=loanMonths), F301*rMonthly, 0)</f>
        <v/>
      </c>
      <c r="H301" s="25">
        <f>IF(AND(F301&gt;0, A301&lt;=loanMonths), EMI, 0)</f>
        <v/>
      </c>
      <c r="I301" s="25">
        <f>IF(AND(F301&gt;0, A301&lt;=loanMonths), MAX(0, F301-MIN(EMI-G301, F301)), F301)</f>
        <v/>
      </c>
      <c r="J301" s="25">
        <f>K300</f>
        <v/>
      </c>
      <c r="K301" s="25">
        <f>J301*(1+mfMo)+H301-E301</f>
        <v/>
      </c>
      <c r="L301" s="25">
        <f>L300+E301</f>
        <v/>
      </c>
      <c r="M301" s="25">
        <f>M300+H301+MAX(0,-E301)</f>
        <v/>
      </c>
      <c r="N301" s="25">
        <f>N300+MAX(0,E301)</f>
        <v/>
      </c>
    </row>
    <row r="302">
      <c r="A302" s="22" t="n">
        <v>301</v>
      </c>
      <c r="B302" s="23">
        <f>propPrice*(1+monthlyAppn)^A302</f>
        <v/>
      </c>
      <c r="C302" s="23">
        <f>IF(A302&gt;=startRentalMonth, initRent*(1+monthlyRentInf)^(A302-1), 0)</f>
        <v/>
      </c>
      <c r="D302" s="23">
        <f>initMaint*(1+monthlyRentInf)^(A302-1)</f>
        <v/>
      </c>
      <c r="E302" s="23">
        <f>C302*(1-vacancyPct)-D302</f>
        <v/>
      </c>
      <c r="F302" s="23">
        <f>I301</f>
        <v/>
      </c>
      <c r="G302" s="23">
        <f>IF(AND(F302&gt;0, A302&lt;=loanMonths), F302*rMonthly, 0)</f>
        <v/>
      </c>
      <c r="H302" s="23">
        <f>IF(AND(F302&gt;0, A302&lt;=loanMonths), EMI, 0)</f>
        <v/>
      </c>
      <c r="I302" s="23">
        <f>IF(AND(F302&gt;0, A302&lt;=loanMonths), MAX(0, F302-MIN(EMI-G302, F302)), F302)</f>
        <v/>
      </c>
      <c r="J302" s="23">
        <f>K301</f>
        <v/>
      </c>
      <c r="K302" s="23">
        <f>J302*(1+mfMo)+H302-E302</f>
        <v/>
      </c>
      <c r="L302" s="23">
        <f>L301+E302</f>
        <v/>
      </c>
      <c r="M302" s="23">
        <f>M301+H302+MAX(0,-E302)</f>
        <v/>
      </c>
      <c r="N302" s="23">
        <f>N301+MAX(0,E302)</f>
        <v/>
      </c>
    </row>
    <row r="303">
      <c r="A303" s="24" t="n">
        <v>302</v>
      </c>
      <c r="B303" s="25">
        <f>propPrice*(1+monthlyAppn)^A303</f>
        <v/>
      </c>
      <c r="C303" s="25">
        <f>IF(A303&gt;=startRentalMonth, initRent*(1+monthlyRentInf)^(A303-1), 0)</f>
        <v/>
      </c>
      <c r="D303" s="25">
        <f>initMaint*(1+monthlyRentInf)^(A303-1)</f>
        <v/>
      </c>
      <c r="E303" s="25">
        <f>C303*(1-vacancyPct)-D303</f>
        <v/>
      </c>
      <c r="F303" s="25">
        <f>I302</f>
        <v/>
      </c>
      <c r="G303" s="25">
        <f>IF(AND(F303&gt;0, A303&lt;=loanMonths), F303*rMonthly, 0)</f>
        <v/>
      </c>
      <c r="H303" s="25">
        <f>IF(AND(F303&gt;0, A303&lt;=loanMonths), EMI, 0)</f>
        <v/>
      </c>
      <c r="I303" s="25">
        <f>IF(AND(F303&gt;0, A303&lt;=loanMonths), MAX(0, F303-MIN(EMI-G303, F303)), F303)</f>
        <v/>
      </c>
      <c r="J303" s="25">
        <f>K302</f>
        <v/>
      </c>
      <c r="K303" s="25">
        <f>J303*(1+mfMo)+H303-E303</f>
        <v/>
      </c>
      <c r="L303" s="25">
        <f>L302+E303</f>
        <v/>
      </c>
      <c r="M303" s="25">
        <f>M302+H303+MAX(0,-E303)</f>
        <v/>
      </c>
      <c r="N303" s="25">
        <f>N302+MAX(0,E303)</f>
        <v/>
      </c>
    </row>
    <row r="304">
      <c r="A304" s="22" t="n">
        <v>303</v>
      </c>
      <c r="B304" s="23">
        <f>propPrice*(1+monthlyAppn)^A304</f>
        <v/>
      </c>
      <c r="C304" s="23">
        <f>IF(A304&gt;=startRentalMonth, initRent*(1+monthlyRentInf)^(A304-1), 0)</f>
        <v/>
      </c>
      <c r="D304" s="23">
        <f>initMaint*(1+monthlyRentInf)^(A304-1)</f>
        <v/>
      </c>
      <c r="E304" s="23">
        <f>C304*(1-vacancyPct)-D304</f>
        <v/>
      </c>
      <c r="F304" s="23">
        <f>I303</f>
        <v/>
      </c>
      <c r="G304" s="23">
        <f>IF(AND(F304&gt;0, A304&lt;=loanMonths), F304*rMonthly, 0)</f>
        <v/>
      </c>
      <c r="H304" s="23">
        <f>IF(AND(F304&gt;0, A304&lt;=loanMonths), EMI, 0)</f>
        <v/>
      </c>
      <c r="I304" s="23">
        <f>IF(AND(F304&gt;0, A304&lt;=loanMonths), MAX(0, F304-MIN(EMI-G304, F304)), F304)</f>
        <v/>
      </c>
      <c r="J304" s="23">
        <f>K303</f>
        <v/>
      </c>
      <c r="K304" s="23">
        <f>J304*(1+mfMo)+H304-E304</f>
        <v/>
      </c>
      <c r="L304" s="23">
        <f>L303+E304</f>
        <v/>
      </c>
      <c r="M304" s="23">
        <f>M303+H304+MAX(0,-E304)</f>
        <v/>
      </c>
      <c r="N304" s="23">
        <f>N303+MAX(0,E304)</f>
        <v/>
      </c>
    </row>
    <row r="305">
      <c r="A305" s="24" t="n">
        <v>304</v>
      </c>
      <c r="B305" s="25">
        <f>propPrice*(1+monthlyAppn)^A305</f>
        <v/>
      </c>
      <c r="C305" s="25">
        <f>IF(A305&gt;=startRentalMonth, initRent*(1+monthlyRentInf)^(A305-1), 0)</f>
        <v/>
      </c>
      <c r="D305" s="25">
        <f>initMaint*(1+monthlyRentInf)^(A305-1)</f>
        <v/>
      </c>
      <c r="E305" s="25">
        <f>C305*(1-vacancyPct)-D305</f>
        <v/>
      </c>
      <c r="F305" s="25">
        <f>I304</f>
        <v/>
      </c>
      <c r="G305" s="25">
        <f>IF(AND(F305&gt;0, A305&lt;=loanMonths), F305*rMonthly, 0)</f>
        <v/>
      </c>
      <c r="H305" s="25">
        <f>IF(AND(F305&gt;0, A305&lt;=loanMonths), EMI, 0)</f>
        <v/>
      </c>
      <c r="I305" s="25">
        <f>IF(AND(F305&gt;0, A305&lt;=loanMonths), MAX(0, F305-MIN(EMI-G305, F305)), F305)</f>
        <v/>
      </c>
      <c r="J305" s="25">
        <f>K304</f>
        <v/>
      </c>
      <c r="K305" s="25">
        <f>J305*(1+mfMo)+H305-E305</f>
        <v/>
      </c>
      <c r="L305" s="25">
        <f>L304+E305</f>
        <v/>
      </c>
      <c r="M305" s="25">
        <f>M304+H305+MAX(0,-E305)</f>
        <v/>
      </c>
      <c r="N305" s="25">
        <f>N304+MAX(0,E305)</f>
        <v/>
      </c>
    </row>
    <row r="306">
      <c r="A306" s="22" t="n">
        <v>305</v>
      </c>
      <c r="B306" s="23">
        <f>propPrice*(1+monthlyAppn)^A306</f>
        <v/>
      </c>
      <c r="C306" s="23">
        <f>IF(A306&gt;=startRentalMonth, initRent*(1+monthlyRentInf)^(A306-1), 0)</f>
        <v/>
      </c>
      <c r="D306" s="23">
        <f>initMaint*(1+monthlyRentInf)^(A306-1)</f>
        <v/>
      </c>
      <c r="E306" s="23">
        <f>C306*(1-vacancyPct)-D306</f>
        <v/>
      </c>
      <c r="F306" s="23">
        <f>I305</f>
        <v/>
      </c>
      <c r="G306" s="23">
        <f>IF(AND(F306&gt;0, A306&lt;=loanMonths), F306*rMonthly, 0)</f>
        <v/>
      </c>
      <c r="H306" s="23">
        <f>IF(AND(F306&gt;0, A306&lt;=loanMonths), EMI, 0)</f>
        <v/>
      </c>
      <c r="I306" s="23">
        <f>IF(AND(F306&gt;0, A306&lt;=loanMonths), MAX(0, F306-MIN(EMI-G306, F306)), F306)</f>
        <v/>
      </c>
      <c r="J306" s="23">
        <f>K305</f>
        <v/>
      </c>
      <c r="K306" s="23">
        <f>J306*(1+mfMo)+H306-E306</f>
        <v/>
      </c>
      <c r="L306" s="23">
        <f>L305+E306</f>
        <v/>
      </c>
      <c r="M306" s="23">
        <f>M305+H306+MAX(0,-E306)</f>
        <v/>
      </c>
      <c r="N306" s="23">
        <f>N305+MAX(0,E306)</f>
        <v/>
      </c>
    </row>
    <row r="307">
      <c r="A307" s="24" t="n">
        <v>306</v>
      </c>
      <c r="B307" s="25">
        <f>propPrice*(1+monthlyAppn)^A307</f>
        <v/>
      </c>
      <c r="C307" s="25">
        <f>IF(A307&gt;=startRentalMonth, initRent*(1+monthlyRentInf)^(A307-1), 0)</f>
        <v/>
      </c>
      <c r="D307" s="25">
        <f>initMaint*(1+monthlyRentInf)^(A307-1)</f>
        <v/>
      </c>
      <c r="E307" s="25">
        <f>C307*(1-vacancyPct)-D307</f>
        <v/>
      </c>
      <c r="F307" s="25">
        <f>I306</f>
        <v/>
      </c>
      <c r="G307" s="25">
        <f>IF(AND(F307&gt;0, A307&lt;=loanMonths), F307*rMonthly, 0)</f>
        <v/>
      </c>
      <c r="H307" s="25">
        <f>IF(AND(F307&gt;0, A307&lt;=loanMonths), EMI, 0)</f>
        <v/>
      </c>
      <c r="I307" s="25">
        <f>IF(AND(F307&gt;0, A307&lt;=loanMonths), MAX(0, F307-MIN(EMI-G307, F307)), F307)</f>
        <v/>
      </c>
      <c r="J307" s="25">
        <f>K306</f>
        <v/>
      </c>
      <c r="K307" s="25">
        <f>J307*(1+mfMo)+H307-E307</f>
        <v/>
      </c>
      <c r="L307" s="25">
        <f>L306+E307</f>
        <v/>
      </c>
      <c r="M307" s="25">
        <f>M306+H307+MAX(0,-E307)</f>
        <v/>
      </c>
      <c r="N307" s="25">
        <f>N306+MAX(0,E307)</f>
        <v/>
      </c>
    </row>
    <row r="308">
      <c r="A308" s="22" t="n">
        <v>307</v>
      </c>
      <c r="B308" s="23">
        <f>propPrice*(1+monthlyAppn)^A308</f>
        <v/>
      </c>
      <c r="C308" s="23">
        <f>IF(A308&gt;=startRentalMonth, initRent*(1+monthlyRentInf)^(A308-1), 0)</f>
        <v/>
      </c>
      <c r="D308" s="23">
        <f>initMaint*(1+monthlyRentInf)^(A308-1)</f>
        <v/>
      </c>
      <c r="E308" s="23">
        <f>C308*(1-vacancyPct)-D308</f>
        <v/>
      </c>
      <c r="F308" s="23">
        <f>I307</f>
        <v/>
      </c>
      <c r="G308" s="23">
        <f>IF(AND(F308&gt;0, A308&lt;=loanMonths), F308*rMonthly, 0)</f>
        <v/>
      </c>
      <c r="H308" s="23">
        <f>IF(AND(F308&gt;0, A308&lt;=loanMonths), EMI, 0)</f>
        <v/>
      </c>
      <c r="I308" s="23">
        <f>IF(AND(F308&gt;0, A308&lt;=loanMonths), MAX(0, F308-MIN(EMI-G308, F308)), F308)</f>
        <v/>
      </c>
      <c r="J308" s="23">
        <f>K307</f>
        <v/>
      </c>
      <c r="K308" s="23">
        <f>J308*(1+mfMo)+H308-E308</f>
        <v/>
      </c>
      <c r="L308" s="23">
        <f>L307+E308</f>
        <v/>
      </c>
      <c r="M308" s="23">
        <f>M307+H308+MAX(0,-E308)</f>
        <v/>
      </c>
      <c r="N308" s="23">
        <f>N307+MAX(0,E308)</f>
        <v/>
      </c>
    </row>
    <row r="309">
      <c r="A309" s="24" t="n">
        <v>308</v>
      </c>
      <c r="B309" s="25">
        <f>propPrice*(1+monthlyAppn)^A309</f>
        <v/>
      </c>
      <c r="C309" s="25">
        <f>IF(A309&gt;=startRentalMonth, initRent*(1+monthlyRentInf)^(A309-1), 0)</f>
        <v/>
      </c>
      <c r="D309" s="25">
        <f>initMaint*(1+monthlyRentInf)^(A309-1)</f>
        <v/>
      </c>
      <c r="E309" s="25">
        <f>C309*(1-vacancyPct)-D309</f>
        <v/>
      </c>
      <c r="F309" s="25">
        <f>I308</f>
        <v/>
      </c>
      <c r="G309" s="25">
        <f>IF(AND(F309&gt;0, A309&lt;=loanMonths), F309*rMonthly, 0)</f>
        <v/>
      </c>
      <c r="H309" s="25">
        <f>IF(AND(F309&gt;0, A309&lt;=loanMonths), EMI, 0)</f>
        <v/>
      </c>
      <c r="I309" s="25">
        <f>IF(AND(F309&gt;0, A309&lt;=loanMonths), MAX(0, F309-MIN(EMI-G309, F309)), F309)</f>
        <v/>
      </c>
      <c r="J309" s="25">
        <f>K308</f>
        <v/>
      </c>
      <c r="K309" s="25">
        <f>J309*(1+mfMo)+H309-E309</f>
        <v/>
      </c>
      <c r="L309" s="25">
        <f>L308+E309</f>
        <v/>
      </c>
      <c r="M309" s="25">
        <f>M308+H309+MAX(0,-E309)</f>
        <v/>
      </c>
      <c r="N309" s="25">
        <f>N308+MAX(0,E309)</f>
        <v/>
      </c>
    </row>
    <row r="310">
      <c r="A310" s="22" t="n">
        <v>309</v>
      </c>
      <c r="B310" s="23">
        <f>propPrice*(1+monthlyAppn)^A310</f>
        <v/>
      </c>
      <c r="C310" s="23">
        <f>IF(A310&gt;=startRentalMonth, initRent*(1+monthlyRentInf)^(A310-1), 0)</f>
        <v/>
      </c>
      <c r="D310" s="23">
        <f>initMaint*(1+monthlyRentInf)^(A310-1)</f>
        <v/>
      </c>
      <c r="E310" s="23">
        <f>C310*(1-vacancyPct)-D310</f>
        <v/>
      </c>
      <c r="F310" s="23">
        <f>I309</f>
        <v/>
      </c>
      <c r="G310" s="23">
        <f>IF(AND(F310&gt;0, A310&lt;=loanMonths), F310*rMonthly, 0)</f>
        <v/>
      </c>
      <c r="H310" s="23">
        <f>IF(AND(F310&gt;0, A310&lt;=loanMonths), EMI, 0)</f>
        <v/>
      </c>
      <c r="I310" s="23">
        <f>IF(AND(F310&gt;0, A310&lt;=loanMonths), MAX(0, F310-MIN(EMI-G310, F310)), F310)</f>
        <v/>
      </c>
      <c r="J310" s="23">
        <f>K309</f>
        <v/>
      </c>
      <c r="K310" s="23">
        <f>J310*(1+mfMo)+H310-E310</f>
        <v/>
      </c>
      <c r="L310" s="23">
        <f>L309+E310</f>
        <v/>
      </c>
      <c r="M310" s="23">
        <f>M309+H310+MAX(0,-E310)</f>
        <v/>
      </c>
      <c r="N310" s="23">
        <f>N309+MAX(0,E310)</f>
        <v/>
      </c>
    </row>
    <row r="311">
      <c r="A311" s="24" t="n">
        <v>310</v>
      </c>
      <c r="B311" s="25">
        <f>propPrice*(1+monthlyAppn)^A311</f>
        <v/>
      </c>
      <c r="C311" s="25">
        <f>IF(A311&gt;=startRentalMonth, initRent*(1+monthlyRentInf)^(A311-1), 0)</f>
        <v/>
      </c>
      <c r="D311" s="25">
        <f>initMaint*(1+monthlyRentInf)^(A311-1)</f>
        <v/>
      </c>
      <c r="E311" s="25">
        <f>C311*(1-vacancyPct)-D311</f>
        <v/>
      </c>
      <c r="F311" s="25">
        <f>I310</f>
        <v/>
      </c>
      <c r="G311" s="25">
        <f>IF(AND(F311&gt;0, A311&lt;=loanMonths), F311*rMonthly, 0)</f>
        <v/>
      </c>
      <c r="H311" s="25">
        <f>IF(AND(F311&gt;0, A311&lt;=loanMonths), EMI, 0)</f>
        <v/>
      </c>
      <c r="I311" s="25">
        <f>IF(AND(F311&gt;0, A311&lt;=loanMonths), MAX(0, F311-MIN(EMI-G311, F311)), F311)</f>
        <v/>
      </c>
      <c r="J311" s="25">
        <f>K310</f>
        <v/>
      </c>
      <c r="K311" s="25">
        <f>J311*(1+mfMo)+H311-E311</f>
        <v/>
      </c>
      <c r="L311" s="25">
        <f>L310+E311</f>
        <v/>
      </c>
      <c r="M311" s="25">
        <f>M310+H311+MAX(0,-E311)</f>
        <v/>
      </c>
      <c r="N311" s="25">
        <f>N310+MAX(0,E311)</f>
        <v/>
      </c>
    </row>
    <row r="312">
      <c r="A312" s="22" t="n">
        <v>311</v>
      </c>
      <c r="B312" s="23">
        <f>propPrice*(1+monthlyAppn)^A312</f>
        <v/>
      </c>
      <c r="C312" s="23">
        <f>IF(A312&gt;=startRentalMonth, initRent*(1+monthlyRentInf)^(A312-1), 0)</f>
        <v/>
      </c>
      <c r="D312" s="23">
        <f>initMaint*(1+monthlyRentInf)^(A312-1)</f>
        <v/>
      </c>
      <c r="E312" s="23">
        <f>C312*(1-vacancyPct)-D312</f>
        <v/>
      </c>
      <c r="F312" s="23">
        <f>I311</f>
        <v/>
      </c>
      <c r="G312" s="23">
        <f>IF(AND(F312&gt;0, A312&lt;=loanMonths), F312*rMonthly, 0)</f>
        <v/>
      </c>
      <c r="H312" s="23">
        <f>IF(AND(F312&gt;0, A312&lt;=loanMonths), EMI, 0)</f>
        <v/>
      </c>
      <c r="I312" s="23">
        <f>IF(AND(F312&gt;0, A312&lt;=loanMonths), MAX(0, F312-MIN(EMI-G312, F312)), F312)</f>
        <v/>
      </c>
      <c r="J312" s="23">
        <f>K311</f>
        <v/>
      </c>
      <c r="K312" s="23">
        <f>J312*(1+mfMo)+H312-E312</f>
        <v/>
      </c>
      <c r="L312" s="23">
        <f>L311+E312</f>
        <v/>
      </c>
      <c r="M312" s="23">
        <f>M311+H312+MAX(0,-E312)</f>
        <v/>
      </c>
      <c r="N312" s="23">
        <f>N311+MAX(0,E312)</f>
        <v/>
      </c>
    </row>
    <row r="313">
      <c r="A313" s="24" t="n">
        <v>312</v>
      </c>
      <c r="B313" s="25">
        <f>propPrice*(1+monthlyAppn)^A313</f>
        <v/>
      </c>
      <c r="C313" s="25">
        <f>IF(A313&gt;=startRentalMonth, initRent*(1+monthlyRentInf)^(A313-1), 0)</f>
        <v/>
      </c>
      <c r="D313" s="25">
        <f>initMaint*(1+monthlyRentInf)^(A313-1)</f>
        <v/>
      </c>
      <c r="E313" s="25">
        <f>C313*(1-vacancyPct)-D313</f>
        <v/>
      </c>
      <c r="F313" s="25">
        <f>I312</f>
        <v/>
      </c>
      <c r="G313" s="25">
        <f>IF(AND(F313&gt;0, A313&lt;=loanMonths), F313*rMonthly, 0)</f>
        <v/>
      </c>
      <c r="H313" s="25">
        <f>IF(AND(F313&gt;0, A313&lt;=loanMonths), EMI, 0)</f>
        <v/>
      </c>
      <c r="I313" s="25">
        <f>IF(AND(F313&gt;0, A313&lt;=loanMonths), MAX(0, F313-MIN(EMI-G313, F313)), F313)</f>
        <v/>
      </c>
      <c r="J313" s="25">
        <f>K312</f>
        <v/>
      </c>
      <c r="K313" s="25">
        <f>J313*(1+mfMo)+H313-E313</f>
        <v/>
      </c>
      <c r="L313" s="25">
        <f>L312+E313</f>
        <v/>
      </c>
      <c r="M313" s="25">
        <f>M312+H313+MAX(0,-E313)</f>
        <v/>
      </c>
      <c r="N313" s="25">
        <f>N312+MAX(0,E313)</f>
        <v/>
      </c>
    </row>
    <row r="314">
      <c r="A314" s="22" t="n">
        <v>313</v>
      </c>
      <c r="B314" s="23">
        <f>propPrice*(1+monthlyAppn)^A314</f>
        <v/>
      </c>
      <c r="C314" s="23">
        <f>IF(A314&gt;=startRentalMonth, initRent*(1+monthlyRentInf)^(A314-1), 0)</f>
        <v/>
      </c>
      <c r="D314" s="23">
        <f>initMaint*(1+monthlyRentInf)^(A314-1)</f>
        <v/>
      </c>
      <c r="E314" s="23">
        <f>C314*(1-vacancyPct)-D314</f>
        <v/>
      </c>
      <c r="F314" s="23">
        <f>I313</f>
        <v/>
      </c>
      <c r="G314" s="23">
        <f>IF(AND(F314&gt;0, A314&lt;=loanMonths), F314*rMonthly, 0)</f>
        <v/>
      </c>
      <c r="H314" s="23">
        <f>IF(AND(F314&gt;0, A314&lt;=loanMonths), EMI, 0)</f>
        <v/>
      </c>
      <c r="I314" s="23">
        <f>IF(AND(F314&gt;0, A314&lt;=loanMonths), MAX(0, F314-MIN(EMI-G314, F314)), F314)</f>
        <v/>
      </c>
      <c r="J314" s="23">
        <f>K313</f>
        <v/>
      </c>
      <c r="K314" s="23">
        <f>J314*(1+mfMo)+H314-E314</f>
        <v/>
      </c>
      <c r="L314" s="23">
        <f>L313+E314</f>
        <v/>
      </c>
      <c r="M314" s="23">
        <f>M313+H314+MAX(0,-E314)</f>
        <v/>
      </c>
      <c r="N314" s="23">
        <f>N313+MAX(0,E314)</f>
        <v/>
      </c>
    </row>
    <row r="315">
      <c r="A315" s="24" t="n">
        <v>314</v>
      </c>
      <c r="B315" s="25">
        <f>propPrice*(1+monthlyAppn)^A315</f>
        <v/>
      </c>
      <c r="C315" s="25">
        <f>IF(A315&gt;=startRentalMonth, initRent*(1+monthlyRentInf)^(A315-1), 0)</f>
        <v/>
      </c>
      <c r="D315" s="25">
        <f>initMaint*(1+monthlyRentInf)^(A315-1)</f>
        <v/>
      </c>
      <c r="E315" s="25">
        <f>C315*(1-vacancyPct)-D315</f>
        <v/>
      </c>
      <c r="F315" s="25">
        <f>I314</f>
        <v/>
      </c>
      <c r="G315" s="25">
        <f>IF(AND(F315&gt;0, A315&lt;=loanMonths), F315*rMonthly, 0)</f>
        <v/>
      </c>
      <c r="H315" s="25">
        <f>IF(AND(F315&gt;0, A315&lt;=loanMonths), EMI, 0)</f>
        <v/>
      </c>
      <c r="I315" s="25">
        <f>IF(AND(F315&gt;0, A315&lt;=loanMonths), MAX(0, F315-MIN(EMI-G315, F315)), F315)</f>
        <v/>
      </c>
      <c r="J315" s="25">
        <f>K314</f>
        <v/>
      </c>
      <c r="K315" s="25">
        <f>J315*(1+mfMo)+H315-E315</f>
        <v/>
      </c>
      <c r="L315" s="25">
        <f>L314+E315</f>
        <v/>
      </c>
      <c r="M315" s="25">
        <f>M314+H315+MAX(0,-E315)</f>
        <v/>
      </c>
      <c r="N315" s="25">
        <f>N314+MAX(0,E315)</f>
        <v/>
      </c>
    </row>
    <row r="316">
      <c r="A316" s="22" t="n">
        <v>315</v>
      </c>
      <c r="B316" s="23">
        <f>propPrice*(1+monthlyAppn)^A316</f>
        <v/>
      </c>
      <c r="C316" s="23">
        <f>IF(A316&gt;=startRentalMonth, initRent*(1+monthlyRentInf)^(A316-1), 0)</f>
        <v/>
      </c>
      <c r="D316" s="23">
        <f>initMaint*(1+monthlyRentInf)^(A316-1)</f>
        <v/>
      </c>
      <c r="E316" s="23">
        <f>C316*(1-vacancyPct)-D316</f>
        <v/>
      </c>
      <c r="F316" s="23">
        <f>I315</f>
        <v/>
      </c>
      <c r="G316" s="23">
        <f>IF(AND(F316&gt;0, A316&lt;=loanMonths), F316*rMonthly, 0)</f>
        <v/>
      </c>
      <c r="H316" s="23">
        <f>IF(AND(F316&gt;0, A316&lt;=loanMonths), EMI, 0)</f>
        <v/>
      </c>
      <c r="I316" s="23">
        <f>IF(AND(F316&gt;0, A316&lt;=loanMonths), MAX(0, F316-MIN(EMI-G316, F316)), F316)</f>
        <v/>
      </c>
      <c r="J316" s="23">
        <f>K315</f>
        <v/>
      </c>
      <c r="K316" s="23">
        <f>J316*(1+mfMo)+H316-E316</f>
        <v/>
      </c>
      <c r="L316" s="23">
        <f>L315+E316</f>
        <v/>
      </c>
      <c r="M316" s="23">
        <f>M315+H316+MAX(0,-E316)</f>
        <v/>
      </c>
      <c r="N316" s="23">
        <f>N315+MAX(0,E316)</f>
        <v/>
      </c>
    </row>
    <row r="317">
      <c r="A317" s="24" t="n">
        <v>316</v>
      </c>
      <c r="B317" s="25">
        <f>propPrice*(1+monthlyAppn)^A317</f>
        <v/>
      </c>
      <c r="C317" s="25">
        <f>IF(A317&gt;=startRentalMonth, initRent*(1+monthlyRentInf)^(A317-1), 0)</f>
        <v/>
      </c>
      <c r="D317" s="25">
        <f>initMaint*(1+monthlyRentInf)^(A317-1)</f>
        <v/>
      </c>
      <c r="E317" s="25">
        <f>C317*(1-vacancyPct)-D317</f>
        <v/>
      </c>
      <c r="F317" s="25">
        <f>I316</f>
        <v/>
      </c>
      <c r="G317" s="25">
        <f>IF(AND(F317&gt;0, A317&lt;=loanMonths), F317*rMonthly, 0)</f>
        <v/>
      </c>
      <c r="H317" s="25">
        <f>IF(AND(F317&gt;0, A317&lt;=loanMonths), EMI, 0)</f>
        <v/>
      </c>
      <c r="I317" s="25">
        <f>IF(AND(F317&gt;0, A317&lt;=loanMonths), MAX(0, F317-MIN(EMI-G317, F317)), F317)</f>
        <v/>
      </c>
      <c r="J317" s="25">
        <f>K316</f>
        <v/>
      </c>
      <c r="K317" s="25">
        <f>J317*(1+mfMo)+H317-E317</f>
        <v/>
      </c>
      <c r="L317" s="25">
        <f>L316+E317</f>
        <v/>
      </c>
      <c r="M317" s="25">
        <f>M316+H317+MAX(0,-E317)</f>
        <v/>
      </c>
      <c r="N317" s="25">
        <f>N316+MAX(0,E317)</f>
        <v/>
      </c>
    </row>
    <row r="318">
      <c r="A318" s="22" t="n">
        <v>317</v>
      </c>
      <c r="B318" s="23">
        <f>propPrice*(1+monthlyAppn)^A318</f>
        <v/>
      </c>
      <c r="C318" s="23">
        <f>IF(A318&gt;=startRentalMonth, initRent*(1+monthlyRentInf)^(A318-1), 0)</f>
        <v/>
      </c>
      <c r="D318" s="23">
        <f>initMaint*(1+monthlyRentInf)^(A318-1)</f>
        <v/>
      </c>
      <c r="E318" s="23">
        <f>C318*(1-vacancyPct)-D318</f>
        <v/>
      </c>
      <c r="F318" s="23">
        <f>I317</f>
        <v/>
      </c>
      <c r="G318" s="23">
        <f>IF(AND(F318&gt;0, A318&lt;=loanMonths), F318*rMonthly, 0)</f>
        <v/>
      </c>
      <c r="H318" s="23">
        <f>IF(AND(F318&gt;0, A318&lt;=loanMonths), EMI, 0)</f>
        <v/>
      </c>
      <c r="I318" s="23">
        <f>IF(AND(F318&gt;0, A318&lt;=loanMonths), MAX(0, F318-MIN(EMI-G318, F318)), F318)</f>
        <v/>
      </c>
      <c r="J318" s="23">
        <f>K317</f>
        <v/>
      </c>
      <c r="K318" s="23">
        <f>J318*(1+mfMo)+H318-E318</f>
        <v/>
      </c>
      <c r="L318" s="23">
        <f>L317+E318</f>
        <v/>
      </c>
      <c r="M318" s="23">
        <f>M317+H318+MAX(0,-E318)</f>
        <v/>
      </c>
      <c r="N318" s="23">
        <f>N317+MAX(0,E318)</f>
        <v/>
      </c>
    </row>
    <row r="319">
      <c r="A319" s="24" t="n">
        <v>318</v>
      </c>
      <c r="B319" s="25">
        <f>propPrice*(1+monthlyAppn)^A319</f>
        <v/>
      </c>
      <c r="C319" s="25">
        <f>IF(A319&gt;=startRentalMonth, initRent*(1+monthlyRentInf)^(A319-1), 0)</f>
        <v/>
      </c>
      <c r="D319" s="25">
        <f>initMaint*(1+monthlyRentInf)^(A319-1)</f>
        <v/>
      </c>
      <c r="E319" s="25">
        <f>C319*(1-vacancyPct)-D319</f>
        <v/>
      </c>
      <c r="F319" s="25">
        <f>I318</f>
        <v/>
      </c>
      <c r="G319" s="25">
        <f>IF(AND(F319&gt;0, A319&lt;=loanMonths), F319*rMonthly, 0)</f>
        <v/>
      </c>
      <c r="H319" s="25">
        <f>IF(AND(F319&gt;0, A319&lt;=loanMonths), EMI, 0)</f>
        <v/>
      </c>
      <c r="I319" s="25">
        <f>IF(AND(F319&gt;0, A319&lt;=loanMonths), MAX(0, F319-MIN(EMI-G319, F319)), F319)</f>
        <v/>
      </c>
      <c r="J319" s="25">
        <f>K318</f>
        <v/>
      </c>
      <c r="K319" s="25">
        <f>J319*(1+mfMo)+H319-E319</f>
        <v/>
      </c>
      <c r="L319" s="25">
        <f>L318+E319</f>
        <v/>
      </c>
      <c r="M319" s="25">
        <f>M318+H319+MAX(0,-E319)</f>
        <v/>
      </c>
      <c r="N319" s="25">
        <f>N318+MAX(0,E319)</f>
        <v/>
      </c>
    </row>
    <row r="320">
      <c r="A320" s="22" t="n">
        <v>319</v>
      </c>
      <c r="B320" s="23">
        <f>propPrice*(1+monthlyAppn)^A320</f>
        <v/>
      </c>
      <c r="C320" s="23">
        <f>IF(A320&gt;=startRentalMonth, initRent*(1+monthlyRentInf)^(A320-1), 0)</f>
        <v/>
      </c>
      <c r="D320" s="23">
        <f>initMaint*(1+monthlyRentInf)^(A320-1)</f>
        <v/>
      </c>
      <c r="E320" s="23">
        <f>C320*(1-vacancyPct)-D320</f>
        <v/>
      </c>
      <c r="F320" s="23">
        <f>I319</f>
        <v/>
      </c>
      <c r="G320" s="23">
        <f>IF(AND(F320&gt;0, A320&lt;=loanMonths), F320*rMonthly, 0)</f>
        <v/>
      </c>
      <c r="H320" s="23">
        <f>IF(AND(F320&gt;0, A320&lt;=loanMonths), EMI, 0)</f>
        <v/>
      </c>
      <c r="I320" s="23">
        <f>IF(AND(F320&gt;0, A320&lt;=loanMonths), MAX(0, F320-MIN(EMI-G320, F320)), F320)</f>
        <v/>
      </c>
      <c r="J320" s="23">
        <f>K319</f>
        <v/>
      </c>
      <c r="K320" s="23">
        <f>J320*(1+mfMo)+H320-E320</f>
        <v/>
      </c>
      <c r="L320" s="23">
        <f>L319+E320</f>
        <v/>
      </c>
      <c r="M320" s="23">
        <f>M319+H320+MAX(0,-E320)</f>
        <v/>
      </c>
      <c r="N320" s="23">
        <f>N319+MAX(0,E320)</f>
        <v/>
      </c>
    </row>
    <row r="321">
      <c r="A321" s="24" t="n">
        <v>320</v>
      </c>
      <c r="B321" s="25">
        <f>propPrice*(1+monthlyAppn)^A321</f>
        <v/>
      </c>
      <c r="C321" s="25">
        <f>IF(A321&gt;=startRentalMonth, initRent*(1+monthlyRentInf)^(A321-1), 0)</f>
        <v/>
      </c>
      <c r="D321" s="25">
        <f>initMaint*(1+monthlyRentInf)^(A321-1)</f>
        <v/>
      </c>
      <c r="E321" s="25">
        <f>C321*(1-vacancyPct)-D321</f>
        <v/>
      </c>
      <c r="F321" s="25">
        <f>I320</f>
        <v/>
      </c>
      <c r="G321" s="25">
        <f>IF(AND(F321&gt;0, A321&lt;=loanMonths), F321*rMonthly, 0)</f>
        <v/>
      </c>
      <c r="H321" s="25">
        <f>IF(AND(F321&gt;0, A321&lt;=loanMonths), EMI, 0)</f>
        <v/>
      </c>
      <c r="I321" s="25">
        <f>IF(AND(F321&gt;0, A321&lt;=loanMonths), MAX(0, F321-MIN(EMI-G321, F321)), F321)</f>
        <v/>
      </c>
      <c r="J321" s="25">
        <f>K320</f>
        <v/>
      </c>
      <c r="K321" s="25">
        <f>J321*(1+mfMo)+H321-E321</f>
        <v/>
      </c>
      <c r="L321" s="25">
        <f>L320+E321</f>
        <v/>
      </c>
      <c r="M321" s="25">
        <f>M320+H321+MAX(0,-E321)</f>
        <v/>
      </c>
      <c r="N321" s="25">
        <f>N320+MAX(0,E321)</f>
        <v/>
      </c>
    </row>
    <row r="322">
      <c r="A322" s="22" t="n">
        <v>321</v>
      </c>
      <c r="B322" s="23">
        <f>propPrice*(1+monthlyAppn)^A322</f>
        <v/>
      </c>
      <c r="C322" s="23">
        <f>IF(A322&gt;=startRentalMonth, initRent*(1+monthlyRentInf)^(A322-1), 0)</f>
        <v/>
      </c>
      <c r="D322" s="23">
        <f>initMaint*(1+monthlyRentInf)^(A322-1)</f>
        <v/>
      </c>
      <c r="E322" s="23">
        <f>C322*(1-vacancyPct)-D322</f>
        <v/>
      </c>
      <c r="F322" s="23">
        <f>I321</f>
        <v/>
      </c>
      <c r="G322" s="23">
        <f>IF(AND(F322&gt;0, A322&lt;=loanMonths), F322*rMonthly, 0)</f>
        <v/>
      </c>
      <c r="H322" s="23">
        <f>IF(AND(F322&gt;0, A322&lt;=loanMonths), EMI, 0)</f>
        <v/>
      </c>
      <c r="I322" s="23">
        <f>IF(AND(F322&gt;0, A322&lt;=loanMonths), MAX(0, F322-MIN(EMI-G322, F322)), F322)</f>
        <v/>
      </c>
      <c r="J322" s="23">
        <f>K321</f>
        <v/>
      </c>
      <c r="K322" s="23">
        <f>J322*(1+mfMo)+H322-E322</f>
        <v/>
      </c>
      <c r="L322" s="23">
        <f>L321+E322</f>
        <v/>
      </c>
      <c r="M322" s="23">
        <f>M321+H322+MAX(0,-E322)</f>
        <v/>
      </c>
      <c r="N322" s="23">
        <f>N321+MAX(0,E322)</f>
        <v/>
      </c>
    </row>
    <row r="323">
      <c r="A323" s="24" t="n">
        <v>322</v>
      </c>
      <c r="B323" s="25">
        <f>propPrice*(1+monthlyAppn)^A323</f>
        <v/>
      </c>
      <c r="C323" s="25">
        <f>IF(A323&gt;=startRentalMonth, initRent*(1+monthlyRentInf)^(A323-1), 0)</f>
        <v/>
      </c>
      <c r="D323" s="25">
        <f>initMaint*(1+monthlyRentInf)^(A323-1)</f>
        <v/>
      </c>
      <c r="E323" s="25">
        <f>C323*(1-vacancyPct)-D323</f>
        <v/>
      </c>
      <c r="F323" s="25">
        <f>I322</f>
        <v/>
      </c>
      <c r="G323" s="25">
        <f>IF(AND(F323&gt;0, A323&lt;=loanMonths), F323*rMonthly, 0)</f>
        <v/>
      </c>
      <c r="H323" s="25">
        <f>IF(AND(F323&gt;0, A323&lt;=loanMonths), EMI, 0)</f>
        <v/>
      </c>
      <c r="I323" s="25">
        <f>IF(AND(F323&gt;0, A323&lt;=loanMonths), MAX(0, F323-MIN(EMI-G323, F323)), F323)</f>
        <v/>
      </c>
      <c r="J323" s="25">
        <f>K322</f>
        <v/>
      </c>
      <c r="K323" s="25">
        <f>J323*(1+mfMo)+H323-E323</f>
        <v/>
      </c>
      <c r="L323" s="25">
        <f>L322+E323</f>
        <v/>
      </c>
      <c r="M323" s="25">
        <f>M322+H323+MAX(0,-E323)</f>
        <v/>
      </c>
      <c r="N323" s="25">
        <f>N322+MAX(0,E323)</f>
        <v/>
      </c>
    </row>
    <row r="324">
      <c r="A324" s="22" t="n">
        <v>323</v>
      </c>
      <c r="B324" s="23">
        <f>propPrice*(1+monthlyAppn)^A324</f>
        <v/>
      </c>
      <c r="C324" s="23">
        <f>IF(A324&gt;=startRentalMonth, initRent*(1+monthlyRentInf)^(A324-1), 0)</f>
        <v/>
      </c>
      <c r="D324" s="23">
        <f>initMaint*(1+monthlyRentInf)^(A324-1)</f>
        <v/>
      </c>
      <c r="E324" s="23">
        <f>C324*(1-vacancyPct)-D324</f>
        <v/>
      </c>
      <c r="F324" s="23">
        <f>I323</f>
        <v/>
      </c>
      <c r="G324" s="23">
        <f>IF(AND(F324&gt;0, A324&lt;=loanMonths), F324*rMonthly, 0)</f>
        <v/>
      </c>
      <c r="H324" s="23">
        <f>IF(AND(F324&gt;0, A324&lt;=loanMonths), EMI, 0)</f>
        <v/>
      </c>
      <c r="I324" s="23">
        <f>IF(AND(F324&gt;0, A324&lt;=loanMonths), MAX(0, F324-MIN(EMI-G324, F324)), F324)</f>
        <v/>
      </c>
      <c r="J324" s="23">
        <f>K323</f>
        <v/>
      </c>
      <c r="K324" s="23">
        <f>J324*(1+mfMo)+H324-E324</f>
        <v/>
      </c>
      <c r="L324" s="23">
        <f>L323+E324</f>
        <v/>
      </c>
      <c r="M324" s="23">
        <f>M323+H324+MAX(0,-E324)</f>
        <v/>
      </c>
      <c r="N324" s="23">
        <f>N323+MAX(0,E324)</f>
        <v/>
      </c>
    </row>
    <row r="325">
      <c r="A325" s="24" t="n">
        <v>324</v>
      </c>
      <c r="B325" s="25">
        <f>propPrice*(1+monthlyAppn)^A325</f>
        <v/>
      </c>
      <c r="C325" s="25">
        <f>IF(A325&gt;=startRentalMonth, initRent*(1+monthlyRentInf)^(A325-1), 0)</f>
        <v/>
      </c>
      <c r="D325" s="25">
        <f>initMaint*(1+monthlyRentInf)^(A325-1)</f>
        <v/>
      </c>
      <c r="E325" s="25">
        <f>C325*(1-vacancyPct)-D325</f>
        <v/>
      </c>
      <c r="F325" s="25">
        <f>I324</f>
        <v/>
      </c>
      <c r="G325" s="25">
        <f>IF(AND(F325&gt;0, A325&lt;=loanMonths), F325*rMonthly, 0)</f>
        <v/>
      </c>
      <c r="H325" s="25">
        <f>IF(AND(F325&gt;0, A325&lt;=loanMonths), EMI, 0)</f>
        <v/>
      </c>
      <c r="I325" s="25">
        <f>IF(AND(F325&gt;0, A325&lt;=loanMonths), MAX(0, F325-MIN(EMI-G325, F325)), F325)</f>
        <v/>
      </c>
      <c r="J325" s="25">
        <f>K324</f>
        <v/>
      </c>
      <c r="K325" s="25">
        <f>J325*(1+mfMo)+H325-E325</f>
        <v/>
      </c>
      <c r="L325" s="25">
        <f>L324+E325</f>
        <v/>
      </c>
      <c r="M325" s="25">
        <f>M324+H325+MAX(0,-E325)</f>
        <v/>
      </c>
      <c r="N325" s="25">
        <f>N324+MAX(0,E325)</f>
        <v/>
      </c>
    </row>
    <row r="326">
      <c r="A326" s="22" t="n">
        <v>325</v>
      </c>
      <c r="B326" s="23">
        <f>propPrice*(1+monthlyAppn)^A326</f>
        <v/>
      </c>
      <c r="C326" s="23">
        <f>IF(A326&gt;=startRentalMonth, initRent*(1+monthlyRentInf)^(A326-1), 0)</f>
        <v/>
      </c>
      <c r="D326" s="23">
        <f>initMaint*(1+monthlyRentInf)^(A326-1)</f>
        <v/>
      </c>
      <c r="E326" s="23">
        <f>C326*(1-vacancyPct)-D326</f>
        <v/>
      </c>
      <c r="F326" s="23">
        <f>I325</f>
        <v/>
      </c>
      <c r="G326" s="23">
        <f>IF(AND(F326&gt;0, A326&lt;=loanMonths), F326*rMonthly, 0)</f>
        <v/>
      </c>
      <c r="H326" s="23">
        <f>IF(AND(F326&gt;0, A326&lt;=loanMonths), EMI, 0)</f>
        <v/>
      </c>
      <c r="I326" s="23">
        <f>IF(AND(F326&gt;0, A326&lt;=loanMonths), MAX(0, F326-MIN(EMI-G326, F326)), F326)</f>
        <v/>
      </c>
      <c r="J326" s="23">
        <f>K325</f>
        <v/>
      </c>
      <c r="K326" s="23">
        <f>J326*(1+mfMo)+H326-E326</f>
        <v/>
      </c>
      <c r="L326" s="23">
        <f>L325+E326</f>
        <v/>
      </c>
      <c r="M326" s="23">
        <f>M325+H326+MAX(0,-E326)</f>
        <v/>
      </c>
      <c r="N326" s="23">
        <f>N325+MAX(0,E326)</f>
        <v/>
      </c>
    </row>
    <row r="327">
      <c r="A327" s="24" t="n">
        <v>326</v>
      </c>
      <c r="B327" s="25">
        <f>propPrice*(1+monthlyAppn)^A327</f>
        <v/>
      </c>
      <c r="C327" s="25">
        <f>IF(A327&gt;=startRentalMonth, initRent*(1+monthlyRentInf)^(A327-1), 0)</f>
        <v/>
      </c>
      <c r="D327" s="25">
        <f>initMaint*(1+monthlyRentInf)^(A327-1)</f>
        <v/>
      </c>
      <c r="E327" s="25">
        <f>C327*(1-vacancyPct)-D327</f>
        <v/>
      </c>
      <c r="F327" s="25">
        <f>I326</f>
        <v/>
      </c>
      <c r="G327" s="25">
        <f>IF(AND(F327&gt;0, A327&lt;=loanMonths), F327*rMonthly, 0)</f>
        <v/>
      </c>
      <c r="H327" s="25">
        <f>IF(AND(F327&gt;0, A327&lt;=loanMonths), EMI, 0)</f>
        <v/>
      </c>
      <c r="I327" s="25">
        <f>IF(AND(F327&gt;0, A327&lt;=loanMonths), MAX(0, F327-MIN(EMI-G327, F327)), F327)</f>
        <v/>
      </c>
      <c r="J327" s="25">
        <f>K326</f>
        <v/>
      </c>
      <c r="K327" s="25">
        <f>J327*(1+mfMo)+H327-E327</f>
        <v/>
      </c>
      <c r="L327" s="25">
        <f>L326+E327</f>
        <v/>
      </c>
      <c r="M327" s="25">
        <f>M326+H327+MAX(0,-E327)</f>
        <v/>
      </c>
      <c r="N327" s="25">
        <f>N326+MAX(0,E327)</f>
        <v/>
      </c>
    </row>
    <row r="328">
      <c r="A328" s="22" t="n">
        <v>327</v>
      </c>
      <c r="B328" s="23">
        <f>propPrice*(1+monthlyAppn)^A328</f>
        <v/>
      </c>
      <c r="C328" s="23">
        <f>IF(A328&gt;=startRentalMonth, initRent*(1+monthlyRentInf)^(A328-1), 0)</f>
        <v/>
      </c>
      <c r="D328" s="23">
        <f>initMaint*(1+monthlyRentInf)^(A328-1)</f>
        <v/>
      </c>
      <c r="E328" s="23">
        <f>C328*(1-vacancyPct)-D328</f>
        <v/>
      </c>
      <c r="F328" s="23">
        <f>I327</f>
        <v/>
      </c>
      <c r="G328" s="23">
        <f>IF(AND(F328&gt;0, A328&lt;=loanMonths), F328*rMonthly, 0)</f>
        <v/>
      </c>
      <c r="H328" s="23">
        <f>IF(AND(F328&gt;0, A328&lt;=loanMonths), EMI, 0)</f>
        <v/>
      </c>
      <c r="I328" s="23">
        <f>IF(AND(F328&gt;0, A328&lt;=loanMonths), MAX(0, F328-MIN(EMI-G328, F328)), F328)</f>
        <v/>
      </c>
      <c r="J328" s="23">
        <f>K327</f>
        <v/>
      </c>
      <c r="K328" s="23">
        <f>J328*(1+mfMo)+H328-E328</f>
        <v/>
      </c>
      <c r="L328" s="23">
        <f>L327+E328</f>
        <v/>
      </c>
      <c r="M328" s="23">
        <f>M327+H328+MAX(0,-E328)</f>
        <v/>
      </c>
      <c r="N328" s="23">
        <f>N327+MAX(0,E328)</f>
        <v/>
      </c>
    </row>
    <row r="329">
      <c r="A329" s="24" t="n">
        <v>328</v>
      </c>
      <c r="B329" s="25">
        <f>propPrice*(1+monthlyAppn)^A329</f>
        <v/>
      </c>
      <c r="C329" s="25">
        <f>IF(A329&gt;=startRentalMonth, initRent*(1+monthlyRentInf)^(A329-1), 0)</f>
        <v/>
      </c>
      <c r="D329" s="25">
        <f>initMaint*(1+monthlyRentInf)^(A329-1)</f>
        <v/>
      </c>
      <c r="E329" s="25">
        <f>C329*(1-vacancyPct)-D329</f>
        <v/>
      </c>
      <c r="F329" s="25">
        <f>I328</f>
        <v/>
      </c>
      <c r="G329" s="25">
        <f>IF(AND(F329&gt;0, A329&lt;=loanMonths), F329*rMonthly, 0)</f>
        <v/>
      </c>
      <c r="H329" s="25">
        <f>IF(AND(F329&gt;0, A329&lt;=loanMonths), EMI, 0)</f>
        <v/>
      </c>
      <c r="I329" s="25">
        <f>IF(AND(F329&gt;0, A329&lt;=loanMonths), MAX(0, F329-MIN(EMI-G329, F329)), F329)</f>
        <v/>
      </c>
      <c r="J329" s="25">
        <f>K328</f>
        <v/>
      </c>
      <c r="K329" s="25">
        <f>J329*(1+mfMo)+H329-E329</f>
        <v/>
      </c>
      <c r="L329" s="25">
        <f>L328+E329</f>
        <v/>
      </c>
      <c r="M329" s="25">
        <f>M328+H329+MAX(0,-E329)</f>
        <v/>
      </c>
      <c r="N329" s="25">
        <f>N328+MAX(0,E329)</f>
        <v/>
      </c>
    </row>
    <row r="330">
      <c r="A330" s="22" t="n">
        <v>329</v>
      </c>
      <c r="B330" s="23">
        <f>propPrice*(1+monthlyAppn)^A330</f>
        <v/>
      </c>
      <c r="C330" s="23">
        <f>IF(A330&gt;=startRentalMonth, initRent*(1+monthlyRentInf)^(A330-1), 0)</f>
        <v/>
      </c>
      <c r="D330" s="23">
        <f>initMaint*(1+monthlyRentInf)^(A330-1)</f>
        <v/>
      </c>
      <c r="E330" s="23">
        <f>C330*(1-vacancyPct)-D330</f>
        <v/>
      </c>
      <c r="F330" s="23">
        <f>I329</f>
        <v/>
      </c>
      <c r="G330" s="23">
        <f>IF(AND(F330&gt;0, A330&lt;=loanMonths), F330*rMonthly, 0)</f>
        <v/>
      </c>
      <c r="H330" s="23">
        <f>IF(AND(F330&gt;0, A330&lt;=loanMonths), EMI, 0)</f>
        <v/>
      </c>
      <c r="I330" s="23">
        <f>IF(AND(F330&gt;0, A330&lt;=loanMonths), MAX(0, F330-MIN(EMI-G330, F330)), F330)</f>
        <v/>
      </c>
      <c r="J330" s="23">
        <f>K329</f>
        <v/>
      </c>
      <c r="K330" s="23">
        <f>J330*(1+mfMo)+H330-E330</f>
        <v/>
      </c>
      <c r="L330" s="23">
        <f>L329+E330</f>
        <v/>
      </c>
      <c r="M330" s="23">
        <f>M329+H330+MAX(0,-E330)</f>
        <v/>
      </c>
      <c r="N330" s="23">
        <f>N329+MAX(0,E330)</f>
        <v/>
      </c>
    </row>
    <row r="331">
      <c r="A331" s="24" t="n">
        <v>330</v>
      </c>
      <c r="B331" s="25">
        <f>propPrice*(1+monthlyAppn)^A331</f>
        <v/>
      </c>
      <c r="C331" s="25">
        <f>IF(A331&gt;=startRentalMonth, initRent*(1+monthlyRentInf)^(A331-1), 0)</f>
        <v/>
      </c>
      <c r="D331" s="25">
        <f>initMaint*(1+monthlyRentInf)^(A331-1)</f>
        <v/>
      </c>
      <c r="E331" s="25">
        <f>C331*(1-vacancyPct)-D331</f>
        <v/>
      </c>
      <c r="F331" s="25">
        <f>I330</f>
        <v/>
      </c>
      <c r="G331" s="25">
        <f>IF(AND(F331&gt;0, A331&lt;=loanMonths), F331*rMonthly, 0)</f>
        <v/>
      </c>
      <c r="H331" s="25">
        <f>IF(AND(F331&gt;0, A331&lt;=loanMonths), EMI, 0)</f>
        <v/>
      </c>
      <c r="I331" s="25">
        <f>IF(AND(F331&gt;0, A331&lt;=loanMonths), MAX(0, F331-MIN(EMI-G331, F331)), F331)</f>
        <v/>
      </c>
      <c r="J331" s="25">
        <f>K330</f>
        <v/>
      </c>
      <c r="K331" s="25">
        <f>J331*(1+mfMo)+H331-E331</f>
        <v/>
      </c>
      <c r="L331" s="25">
        <f>L330+E331</f>
        <v/>
      </c>
      <c r="M331" s="25">
        <f>M330+H331+MAX(0,-E331)</f>
        <v/>
      </c>
      <c r="N331" s="25">
        <f>N330+MAX(0,E331)</f>
        <v/>
      </c>
    </row>
    <row r="332">
      <c r="A332" s="22" t="n">
        <v>331</v>
      </c>
      <c r="B332" s="23">
        <f>propPrice*(1+monthlyAppn)^A332</f>
        <v/>
      </c>
      <c r="C332" s="23">
        <f>IF(A332&gt;=startRentalMonth, initRent*(1+monthlyRentInf)^(A332-1), 0)</f>
        <v/>
      </c>
      <c r="D332" s="23">
        <f>initMaint*(1+monthlyRentInf)^(A332-1)</f>
        <v/>
      </c>
      <c r="E332" s="23">
        <f>C332*(1-vacancyPct)-D332</f>
        <v/>
      </c>
      <c r="F332" s="23">
        <f>I331</f>
        <v/>
      </c>
      <c r="G332" s="23">
        <f>IF(AND(F332&gt;0, A332&lt;=loanMonths), F332*rMonthly, 0)</f>
        <v/>
      </c>
      <c r="H332" s="23">
        <f>IF(AND(F332&gt;0, A332&lt;=loanMonths), EMI, 0)</f>
        <v/>
      </c>
      <c r="I332" s="23">
        <f>IF(AND(F332&gt;0, A332&lt;=loanMonths), MAX(0, F332-MIN(EMI-G332, F332)), F332)</f>
        <v/>
      </c>
      <c r="J332" s="23">
        <f>K331</f>
        <v/>
      </c>
      <c r="K332" s="23">
        <f>J332*(1+mfMo)+H332-E332</f>
        <v/>
      </c>
      <c r="L332" s="23">
        <f>L331+E332</f>
        <v/>
      </c>
      <c r="M332" s="23">
        <f>M331+H332+MAX(0,-E332)</f>
        <v/>
      </c>
      <c r="N332" s="23">
        <f>N331+MAX(0,E332)</f>
        <v/>
      </c>
    </row>
    <row r="333">
      <c r="A333" s="24" t="n">
        <v>332</v>
      </c>
      <c r="B333" s="25">
        <f>propPrice*(1+monthlyAppn)^A333</f>
        <v/>
      </c>
      <c r="C333" s="25">
        <f>IF(A333&gt;=startRentalMonth, initRent*(1+monthlyRentInf)^(A333-1), 0)</f>
        <v/>
      </c>
      <c r="D333" s="25">
        <f>initMaint*(1+monthlyRentInf)^(A333-1)</f>
        <v/>
      </c>
      <c r="E333" s="25">
        <f>C333*(1-vacancyPct)-D333</f>
        <v/>
      </c>
      <c r="F333" s="25">
        <f>I332</f>
        <v/>
      </c>
      <c r="G333" s="25">
        <f>IF(AND(F333&gt;0, A333&lt;=loanMonths), F333*rMonthly, 0)</f>
        <v/>
      </c>
      <c r="H333" s="25">
        <f>IF(AND(F333&gt;0, A333&lt;=loanMonths), EMI, 0)</f>
        <v/>
      </c>
      <c r="I333" s="25">
        <f>IF(AND(F333&gt;0, A333&lt;=loanMonths), MAX(0, F333-MIN(EMI-G333, F333)), F333)</f>
        <v/>
      </c>
      <c r="J333" s="25">
        <f>K332</f>
        <v/>
      </c>
      <c r="K333" s="25">
        <f>J333*(1+mfMo)+H333-E333</f>
        <v/>
      </c>
      <c r="L333" s="25">
        <f>L332+E333</f>
        <v/>
      </c>
      <c r="M333" s="25">
        <f>M332+H333+MAX(0,-E333)</f>
        <v/>
      </c>
      <c r="N333" s="25">
        <f>N332+MAX(0,E333)</f>
        <v/>
      </c>
    </row>
    <row r="334">
      <c r="A334" s="22" t="n">
        <v>333</v>
      </c>
      <c r="B334" s="23">
        <f>propPrice*(1+monthlyAppn)^A334</f>
        <v/>
      </c>
      <c r="C334" s="23">
        <f>IF(A334&gt;=startRentalMonth, initRent*(1+monthlyRentInf)^(A334-1), 0)</f>
        <v/>
      </c>
      <c r="D334" s="23">
        <f>initMaint*(1+monthlyRentInf)^(A334-1)</f>
        <v/>
      </c>
      <c r="E334" s="23">
        <f>C334*(1-vacancyPct)-D334</f>
        <v/>
      </c>
      <c r="F334" s="23">
        <f>I333</f>
        <v/>
      </c>
      <c r="G334" s="23">
        <f>IF(AND(F334&gt;0, A334&lt;=loanMonths), F334*rMonthly, 0)</f>
        <v/>
      </c>
      <c r="H334" s="23">
        <f>IF(AND(F334&gt;0, A334&lt;=loanMonths), EMI, 0)</f>
        <v/>
      </c>
      <c r="I334" s="23">
        <f>IF(AND(F334&gt;0, A334&lt;=loanMonths), MAX(0, F334-MIN(EMI-G334, F334)), F334)</f>
        <v/>
      </c>
      <c r="J334" s="23">
        <f>K333</f>
        <v/>
      </c>
      <c r="K334" s="23">
        <f>J334*(1+mfMo)+H334-E334</f>
        <v/>
      </c>
      <c r="L334" s="23">
        <f>L333+E334</f>
        <v/>
      </c>
      <c r="M334" s="23">
        <f>M333+H334+MAX(0,-E334)</f>
        <v/>
      </c>
      <c r="N334" s="23">
        <f>N333+MAX(0,E334)</f>
        <v/>
      </c>
    </row>
    <row r="335">
      <c r="A335" s="24" t="n">
        <v>334</v>
      </c>
      <c r="B335" s="25">
        <f>propPrice*(1+monthlyAppn)^A335</f>
        <v/>
      </c>
      <c r="C335" s="25">
        <f>IF(A335&gt;=startRentalMonth, initRent*(1+monthlyRentInf)^(A335-1), 0)</f>
        <v/>
      </c>
      <c r="D335" s="25">
        <f>initMaint*(1+monthlyRentInf)^(A335-1)</f>
        <v/>
      </c>
      <c r="E335" s="25">
        <f>C335*(1-vacancyPct)-D335</f>
        <v/>
      </c>
      <c r="F335" s="25">
        <f>I334</f>
        <v/>
      </c>
      <c r="G335" s="25">
        <f>IF(AND(F335&gt;0, A335&lt;=loanMonths), F335*rMonthly, 0)</f>
        <v/>
      </c>
      <c r="H335" s="25">
        <f>IF(AND(F335&gt;0, A335&lt;=loanMonths), EMI, 0)</f>
        <v/>
      </c>
      <c r="I335" s="25">
        <f>IF(AND(F335&gt;0, A335&lt;=loanMonths), MAX(0, F335-MIN(EMI-G335, F335)), F335)</f>
        <v/>
      </c>
      <c r="J335" s="25">
        <f>K334</f>
        <v/>
      </c>
      <c r="K335" s="25">
        <f>J335*(1+mfMo)+H335-E335</f>
        <v/>
      </c>
      <c r="L335" s="25">
        <f>L334+E335</f>
        <v/>
      </c>
      <c r="M335" s="25">
        <f>M334+H335+MAX(0,-E335)</f>
        <v/>
      </c>
      <c r="N335" s="25">
        <f>N334+MAX(0,E335)</f>
        <v/>
      </c>
    </row>
    <row r="336">
      <c r="A336" s="22" t="n">
        <v>335</v>
      </c>
      <c r="B336" s="23">
        <f>propPrice*(1+monthlyAppn)^A336</f>
        <v/>
      </c>
      <c r="C336" s="23">
        <f>IF(A336&gt;=startRentalMonth, initRent*(1+monthlyRentInf)^(A336-1), 0)</f>
        <v/>
      </c>
      <c r="D336" s="23">
        <f>initMaint*(1+monthlyRentInf)^(A336-1)</f>
        <v/>
      </c>
      <c r="E336" s="23">
        <f>C336*(1-vacancyPct)-D336</f>
        <v/>
      </c>
      <c r="F336" s="23">
        <f>I335</f>
        <v/>
      </c>
      <c r="G336" s="23">
        <f>IF(AND(F336&gt;0, A336&lt;=loanMonths), F336*rMonthly, 0)</f>
        <v/>
      </c>
      <c r="H336" s="23">
        <f>IF(AND(F336&gt;0, A336&lt;=loanMonths), EMI, 0)</f>
        <v/>
      </c>
      <c r="I336" s="23">
        <f>IF(AND(F336&gt;0, A336&lt;=loanMonths), MAX(0, F336-MIN(EMI-G336, F336)), F336)</f>
        <v/>
      </c>
      <c r="J336" s="23">
        <f>K335</f>
        <v/>
      </c>
      <c r="K336" s="23">
        <f>J336*(1+mfMo)+H336-E336</f>
        <v/>
      </c>
      <c r="L336" s="23">
        <f>L335+E336</f>
        <v/>
      </c>
      <c r="M336" s="23">
        <f>M335+H336+MAX(0,-E336)</f>
        <v/>
      </c>
      <c r="N336" s="23">
        <f>N335+MAX(0,E336)</f>
        <v/>
      </c>
    </row>
    <row r="337">
      <c r="A337" s="24" t="n">
        <v>336</v>
      </c>
      <c r="B337" s="25">
        <f>propPrice*(1+monthlyAppn)^A337</f>
        <v/>
      </c>
      <c r="C337" s="25">
        <f>IF(A337&gt;=startRentalMonth, initRent*(1+monthlyRentInf)^(A337-1), 0)</f>
        <v/>
      </c>
      <c r="D337" s="25">
        <f>initMaint*(1+monthlyRentInf)^(A337-1)</f>
        <v/>
      </c>
      <c r="E337" s="25">
        <f>C337*(1-vacancyPct)-D337</f>
        <v/>
      </c>
      <c r="F337" s="25">
        <f>I336</f>
        <v/>
      </c>
      <c r="G337" s="25">
        <f>IF(AND(F337&gt;0, A337&lt;=loanMonths), F337*rMonthly, 0)</f>
        <v/>
      </c>
      <c r="H337" s="25">
        <f>IF(AND(F337&gt;0, A337&lt;=loanMonths), EMI, 0)</f>
        <v/>
      </c>
      <c r="I337" s="25">
        <f>IF(AND(F337&gt;0, A337&lt;=loanMonths), MAX(0, F337-MIN(EMI-G337, F337)), F337)</f>
        <v/>
      </c>
      <c r="J337" s="25">
        <f>K336</f>
        <v/>
      </c>
      <c r="K337" s="25">
        <f>J337*(1+mfMo)+H337-E337</f>
        <v/>
      </c>
      <c r="L337" s="25">
        <f>L336+E337</f>
        <v/>
      </c>
      <c r="M337" s="25">
        <f>M336+H337+MAX(0,-E337)</f>
        <v/>
      </c>
      <c r="N337" s="25">
        <f>N336+MAX(0,E337)</f>
        <v/>
      </c>
    </row>
    <row r="338">
      <c r="A338" s="22" t="n">
        <v>337</v>
      </c>
      <c r="B338" s="23">
        <f>propPrice*(1+monthlyAppn)^A338</f>
        <v/>
      </c>
      <c r="C338" s="23">
        <f>IF(A338&gt;=startRentalMonth, initRent*(1+monthlyRentInf)^(A338-1), 0)</f>
        <v/>
      </c>
      <c r="D338" s="23">
        <f>initMaint*(1+monthlyRentInf)^(A338-1)</f>
        <v/>
      </c>
      <c r="E338" s="23">
        <f>C338*(1-vacancyPct)-D338</f>
        <v/>
      </c>
      <c r="F338" s="23">
        <f>I337</f>
        <v/>
      </c>
      <c r="G338" s="23">
        <f>IF(AND(F338&gt;0, A338&lt;=loanMonths), F338*rMonthly, 0)</f>
        <v/>
      </c>
      <c r="H338" s="23">
        <f>IF(AND(F338&gt;0, A338&lt;=loanMonths), EMI, 0)</f>
        <v/>
      </c>
      <c r="I338" s="23">
        <f>IF(AND(F338&gt;0, A338&lt;=loanMonths), MAX(0, F338-MIN(EMI-G338, F338)), F338)</f>
        <v/>
      </c>
      <c r="J338" s="23">
        <f>K337</f>
        <v/>
      </c>
      <c r="K338" s="23">
        <f>J338*(1+mfMo)+H338-E338</f>
        <v/>
      </c>
      <c r="L338" s="23">
        <f>L337+E338</f>
        <v/>
      </c>
      <c r="M338" s="23">
        <f>M337+H338+MAX(0,-E338)</f>
        <v/>
      </c>
      <c r="N338" s="23">
        <f>N337+MAX(0,E338)</f>
        <v/>
      </c>
    </row>
    <row r="339">
      <c r="A339" s="24" t="n">
        <v>338</v>
      </c>
      <c r="B339" s="25">
        <f>propPrice*(1+monthlyAppn)^A339</f>
        <v/>
      </c>
      <c r="C339" s="25">
        <f>IF(A339&gt;=startRentalMonth, initRent*(1+monthlyRentInf)^(A339-1), 0)</f>
        <v/>
      </c>
      <c r="D339" s="25">
        <f>initMaint*(1+monthlyRentInf)^(A339-1)</f>
        <v/>
      </c>
      <c r="E339" s="25">
        <f>C339*(1-vacancyPct)-D339</f>
        <v/>
      </c>
      <c r="F339" s="25">
        <f>I338</f>
        <v/>
      </c>
      <c r="G339" s="25">
        <f>IF(AND(F339&gt;0, A339&lt;=loanMonths), F339*rMonthly, 0)</f>
        <v/>
      </c>
      <c r="H339" s="25">
        <f>IF(AND(F339&gt;0, A339&lt;=loanMonths), EMI, 0)</f>
        <v/>
      </c>
      <c r="I339" s="25">
        <f>IF(AND(F339&gt;0, A339&lt;=loanMonths), MAX(0, F339-MIN(EMI-G339, F339)), F339)</f>
        <v/>
      </c>
      <c r="J339" s="25">
        <f>K338</f>
        <v/>
      </c>
      <c r="K339" s="25">
        <f>J339*(1+mfMo)+H339-E339</f>
        <v/>
      </c>
      <c r="L339" s="25">
        <f>L338+E339</f>
        <v/>
      </c>
      <c r="M339" s="25">
        <f>M338+H339+MAX(0,-E339)</f>
        <v/>
      </c>
      <c r="N339" s="25">
        <f>N338+MAX(0,E339)</f>
        <v/>
      </c>
    </row>
    <row r="340">
      <c r="A340" s="22" t="n">
        <v>339</v>
      </c>
      <c r="B340" s="23">
        <f>propPrice*(1+monthlyAppn)^A340</f>
        <v/>
      </c>
      <c r="C340" s="23">
        <f>IF(A340&gt;=startRentalMonth, initRent*(1+monthlyRentInf)^(A340-1), 0)</f>
        <v/>
      </c>
      <c r="D340" s="23">
        <f>initMaint*(1+monthlyRentInf)^(A340-1)</f>
        <v/>
      </c>
      <c r="E340" s="23">
        <f>C340*(1-vacancyPct)-D340</f>
        <v/>
      </c>
      <c r="F340" s="23">
        <f>I339</f>
        <v/>
      </c>
      <c r="G340" s="23">
        <f>IF(AND(F340&gt;0, A340&lt;=loanMonths), F340*rMonthly, 0)</f>
        <v/>
      </c>
      <c r="H340" s="23">
        <f>IF(AND(F340&gt;0, A340&lt;=loanMonths), EMI, 0)</f>
        <v/>
      </c>
      <c r="I340" s="23">
        <f>IF(AND(F340&gt;0, A340&lt;=loanMonths), MAX(0, F340-MIN(EMI-G340, F340)), F340)</f>
        <v/>
      </c>
      <c r="J340" s="23">
        <f>K339</f>
        <v/>
      </c>
      <c r="K340" s="23">
        <f>J340*(1+mfMo)+H340-E340</f>
        <v/>
      </c>
      <c r="L340" s="23">
        <f>L339+E340</f>
        <v/>
      </c>
      <c r="M340" s="23">
        <f>M339+H340+MAX(0,-E340)</f>
        <v/>
      </c>
      <c r="N340" s="23">
        <f>N339+MAX(0,E340)</f>
        <v/>
      </c>
    </row>
    <row r="341">
      <c r="A341" s="24" t="n">
        <v>340</v>
      </c>
      <c r="B341" s="25">
        <f>propPrice*(1+monthlyAppn)^A341</f>
        <v/>
      </c>
      <c r="C341" s="25">
        <f>IF(A341&gt;=startRentalMonth, initRent*(1+monthlyRentInf)^(A341-1), 0)</f>
        <v/>
      </c>
      <c r="D341" s="25">
        <f>initMaint*(1+monthlyRentInf)^(A341-1)</f>
        <v/>
      </c>
      <c r="E341" s="25">
        <f>C341*(1-vacancyPct)-D341</f>
        <v/>
      </c>
      <c r="F341" s="25">
        <f>I340</f>
        <v/>
      </c>
      <c r="G341" s="25">
        <f>IF(AND(F341&gt;0, A341&lt;=loanMonths), F341*rMonthly, 0)</f>
        <v/>
      </c>
      <c r="H341" s="25">
        <f>IF(AND(F341&gt;0, A341&lt;=loanMonths), EMI, 0)</f>
        <v/>
      </c>
      <c r="I341" s="25">
        <f>IF(AND(F341&gt;0, A341&lt;=loanMonths), MAX(0, F341-MIN(EMI-G341, F341)), F341)</f>
        <v/>
      </c>
      <c r="J341" s="25">
        <f>K340</f>
        <v/>
      </c>
      <c r="K341" s="25">
        <f>J341*(1+mfMo)+H341-E341</f>
        <v/>
      </c>
      <c r="L341" s="25">
        <f>L340+E341</f>
        <v/>
      </c>
      <c r="M341" s="25">
        <f>M340+H341+MAX(0,-E341)</f>
        <v/>
      </c>
      <c r="N341" s="25">
        <f>N340+MAX(0,E341)</f>
        <v/>
      </c>
    </row>
    <row r="342">
      <c r="A342" s="22" t="n">
        <v>341</v>
      </c>
      <c r="B342" s="23">
        <f>propPrice*(1+monthlyAppn)^A342</f>
        <v/>
      </c>
      <c r="C342" s="23">
        <f>IF(A342&gt;=startRentalMonth, initRent*(1+monthlyRentInf)^(A342-1), 0)</f>
        <v/>
      </c>
      <c r="D342" s="23">
        <f>initMaint*(1+monthlyRentInf)^(A342-1)</f>
        <v/>
      </c>
      <c r="E342" s="23">
        <f>C342*(1-vacancyPct)-D342</f>
        <v/>
      </c>
      <c r="F342" s="23">
        <f>I341</f>
        <v/>
      </c>
      <c r="G342" s="23">
        <f>IF(AND(F342&gt;0, A342&lt;=loanMonths), F342*rMonthly, 0)</f>
        <v/>
      </c>
      <c r="H342" s="23">
        <f>IF(AND(F342&gt;0, A342&lt;=loanMonths), EMI, 0)</f>
        <v/>
      </c>
      <c r="I342" s="23">
        <f>IF(AND(F342&gt;0, A342&lt;=loanMonths), MAX(0, F342-MIN(EMI-G342, F342)), F342)</f>
        <v/>
      </c>
      <c r="J342" s="23">
        <f>K341</f>
        <v/>
      </c>
      <c r="K342" s="23">
        <f>J342*(1+mfMo)+H342-E342</f>
        <v/>
      </c>
      <c r="L342" s="23">
        <f>L341+E342</f>
        <v/>
      </c>
      <c r="M342" s="23">
        <f>M341+H342+MAX(0,-E342)</f>
        <v/>
      </c>
      <c r="N342" s="23">
        <f>N341+MAX(0,E342)</f>
        <v/>
      </c>
    </row>
    <row r="343">
      <c r="A343" s="24" t="n">
        <v>342</v>
      </c>
      <c r="B343" s="25">
        <f>propPrice*(1+monthlyAppn)^A343</f>
        <v/>
      </c>
      <c r="C343" s="25">
        <f>IF(A343&gt;=startRentalMonth, initRent*(1+monthlyRentInf)^(A343-1), 0)</f>
        <v/>
      </c>
      <c r="D343" s="25">
        <f>initMaint*(1+monthlyRentInf)^(A343-1)</f>
        <v/>
      </c>
      <c r="E343" s="25">
        <f>C343*(1-vacancyPct)-D343</f>
        <v/>
      </c>
      <c r="F343" s="25">
        <f>I342</f>
        <v/>
      </c>
      <c r="G343" s="25">
        <f>IF(AND(F343&gt;0, A343&lt;=loanMonths), F343*rMonthly, 0)</f>
        <v/>
      </c>
      <c r="H343" s="25">
        <f>IF(AND(F343&gt;0, A343&lt;=loanMonths), EMI, 0)</f>
        <v/>
      </c>
      <c r="I343" s="25">
        <f>IF(AND(F343&gt;0, A343&lt;=loanMonths), MAX(0, F343-MIN(EMI-G343, F343)), F343)</f>
        <v/>
      </c>
      <c r="J343" s="25">
        <f>K342</f>
        <v/>
      </c>
      <c r="K343" s="25">
        <f>J343*(1+mfMo)+H343-E343</f>
        <v/>
      </c>
      <c r="L343" s="25">
        <f>L342+E343</f>
        <v/>
      </c>
      <c r="M343" s="25">
        <f>M342+H343+MAX(0,-E343)</f>
        <v/>
      </c>
      <c r="N343" s="25">
        <f>N342+MAX(0,E343)</f>
        <v/>
      </c>
    </row>
    <row r="344">
      <c r="A344" s="22" t="n">
        <v>343</v>
      </c>
      <c r="B344" s="23">
        <f>propPrice*(1+monthlyAppn)^A344</f>
        <v/>
      </c>
      <c r="C344" s="23">
        <f>IF(A344&gt;=startRentalMonth, initRent*(1+monthlyRentInf)^(A344-1), 0)</f>
        <v/>
      </c>
      <c r="D344" s="23">
        <f>initMaint*(1+monthlyRentInf)^(A344-1)</f>
        <v/>
      </c>
      <c r="E344" s="23">
        <f>C344*(1-vacancyPct)-D344</f>
        <v/>
      </c>
      <c r="F344" s="23">
        <f>I343</f>
        <v/>
      </c>
      <c r="G344" s="23">
        <f>IF(AND(F344&gt;0, A344&lt;=loanMonths), F344*rMonthly, 0)</f>
        <v/>
      </c>
      <c r="H344" s="23">
        <f>IF(AND(F344&gt;0, A344&lt;=loanMonths), EMI, 0)</f>
        <v/>
      </c>
      <c r="I344" s="23">
        <f>IF(AND(F344&gt;0, A344&lt;=loanMonths), MAX(0, F344-MIN(EMI-G344, F344)), F344)</f>
        <v/>
      </c>
      <c r="J344" s="23">
        <f>K343</f>
        <v/>
      </c>
      <c r="K344" s="23">
        <f>J344*(1+mfMo)+H344-E344</f>
        <v/>
      </c>
      <c r="L344" s="23">
        <f>L343+E344</f>
        <v/>
      </c>
      <c r="M344" s="23">
        <f>M343+H344+MAX(0,-E344)</f>
        <v/>
      </c>
      <c r="N344" s="23">
        <f>N343+MAX(0,E344)</f>
        <v/>
      </c>
    </row>
    <row r="345">
      <c r="A345" s="24" t="n">
        <v>344</v>
      </c>
      <c r="B345" s="25">
        <f>propPrice*(1+monthlyAppn)^A345</f>
        <v/>
      </c>
      <c r="C345" s="25">
        <f>IF(A345&gt;=startRentalMonth, initRent*(1+monthlyRentInf)^(A345-1), 0)</f>
        <v/>
      </c>
      <c r="D345" s="25">
        <f>initMaint*(1+monthlyRentInf)^(A345-1)</f>
        <v/>
      </c>
      <c r="E345" s="25">
        <f>C345*(1-vacancyPct)-D345</f>
        <v/>
      </c>
      <c r="F345" s="25">
        <f>I344</f>
        <v/>
      </c>
      <c r="G345" s="25">
        <f>IF(AND(F345&gt;0, A345&lt;=loanMonths), F345*rMonthly, 0)</f>
        <v/>
      </c>
      <c r="H345" s="25">
        <f>IF(AND(F345&gt;0, A345&lt;=loanMonths), EMI, 0)</f>
        <v/>
      </c>
      <c r="I345" s="25">
        <f>IF(AND(F345&gt;0, A345&lt;=loanMonths), MAX(0, F345-MIN(EMI-G345, F345)), F345)</f>
        <v/>
      </c>
      <c r="J345" s="25">
        <f>K344</f>
        <v/>
      </c>
      <c r="K345" s="25">
        <f>J345*(1+mfMo)+H345-E345</f>
        <v/>
      </c>
      <c r="L345" s="25">
        <f>L344+E345</f>
        <v/>
      </c>
      <c r="M345" s="25">
        <f>M344+H345+MAX(0,-E345)</f>
        <v/>
      </c>
      <c r="N345" s="25">
        <f>N344+MAX(0,E345)</f>
        <v/>
      </c>
    </row>
    <row r="346">
      <c r="A346" s="22" t="n">
        <v>345</v>
      </c>
      <c r="B346" s="23">
        <f>propPrice*(1+monthlyAppn)^A346</f>
        <v/>
      </c>
      <c r="C346" s="23">
        <f>IF(A346&gt;=startRentalMonth, initRent*(1+monthlyRentInf)^(A346-1), 0)</f>
        <v/>
      </c>
      <c r="D346" s="23">
        <f>initMaint*(1+monthlyRentInf)^(A346-1)</f>
        <v/>
      </c>
      <c r="E346" s="23">
        <f>C346*(1-vacancyPct)-D346</f>
        <v/>
      </c>
      <c r="F346" s="23">
        <f>I345</f>
        <v/>
      </c>
      <c r="G346" s="23">
        <f>IF(AND(F346&gt;0, A346&lt;=loanMonths), F346*rMonthly, 0)</f>
        <v/>
      </c>
      <c r="H346" s="23">
        <f>IF(AND(F346&gt;0, A346&lt;=loanMonths), EMI, 0)</f>
        <v/>
      </c>
      <c r="I346" s="23">
        <f>IF(AND(F346&gt;0, A346&lt;=loanMonths), MAX(0, F346-MIN(EMI-G346, F346)), F346)</f>
        <v/>
      </c>
      <c r="J346" s="23">
        <f>K345</f>
        <v/>
      </c>
      <c r="K346" s="23">
        <f>J346*(1+mfMo)+H346-E346</f>
        <v/>
      </c>
      <c r="L346" s="23">
        <f>L345+E346</f>
        <v/>
      </c>
      <c r="M346" s="23">
        <f>M345+H346+MAX(0,-E346)</f>
        <v/>
      </c>
      <c r="N346" s="23">
        <f>N345+MAX(0,E346)</f>
        <v/>
      </c>
    </row>
    <row r="347">
      <c r="A347" s="24" t="n">
        <v>346</v>
      </c>
      <c r="B347" s="25">
        <f>propPrice*(1+monthlyAppn)^A347</f>
        <v/>
      </c>
      <c r="C347" s="25">
        <f>IF(A347&gt;=startRentalMonth, initRent*(1+monthlyRentInf)^(A347-1), 0)</f>
        <v/>
      </c>
      <c r="D347" s="25">
        <f>initMaint*(1+monthlyRentInf)^(A347-1)</f>
        <v/>
      </c>
      <c r="E347" s="25">
        <f>C347*(1-vacancyPct)-D347</f>
        <v/>
      </c>
      <c r="F347" s="25">
        <f>I346</f>
        <v/>
      </c>
      <c r="G347" s="25">
        <f>IF(AND(F347&gt;0, A347&lt;=loanMonths), F347*rMonthly, 0)</f>
        <v/>
      </c>
      <c r="H347" s="25">
        <f>IF(AND(F347&gt;0, A347&lt;=loanMonths), EMI, 0)</f>
        <v/>
      </c>
      <c r="I347" s="25">
        <f>IF(AND(F347&gt;0, A347&lt;=loanMonths), MAX(0, F347-MIN(EMI-G347, F347)), F347)</f>
        <v/>
      </c>
      <c r="J347" s="25">
        <f>K346</f>
        <v/>
      </c>
      <c r="K347" s="25">
        <f>J347*(1+mfMo)+H347-E347</f>
        <v/>
      </c>
      <c r="L347" s="25">
        <f>L346+E347</f>
        <v/>
      </c>
      <c r="M347" s="25">
        <f>M346+H347+MAX(0,-E347)</f>
        <v/>
      </c>
      <c r="N347" s="25">
        <f>N346+MAX(0,E347)</f>
        <v/>
      </c>
    </row>
    <row r="348">
      <c r="A348" s="22" t="n">
        <v>347</v>
      </c>
      <c r="B348" s="23">
        <f>propPrice*(1+monthlyAppn)^A348</f>
        <v/>
      </c>
      <c r="C348" s="23">
        <f>IF(A348&gt;=startRentalMonth, initRent*(1+monthlyRentInf)^(A348-1), 0)</f>
        <v/>
      </c>
      <c r="D348" s="23">
        <f>initMaint*(1+monthlyRentInf)^(A348-1)</f>
        <v/>
      </c>
      <c r="E348" s="23">
        <f>C348*(1-vacancyPct)-D348</f>
        <v/>
      </c>
      <c r="F348" s="23">
        <f>I347</f>
        <v/>
      </c>
      <c r="G348" s="23">
        <f>IF(AND(F348&gt;0, A348&lt;=loanMonths), F348*rMonthly, 0)</f>
        <v/>
      </c>
      <c r="H348" s="23">
        <f>IF(AND(F348&gt;0, A348&lt;=loanMonths), EMI, 0)</f>
        <v/>
      </c>
      <c r="I348" s="23">
        <f>IF(AND(F348&gt;0, A348&lt;=loanMonths), MAX(0, F348-MIN(EMI-G348, F348)), F348)</f>
        <v/>
      </c>
      <c r="J348" s="23">
        <f>K347</f>
        <v/>
      </c>
      <c r="K348" s="23">
        <f>J348*(1+mfMo)+H348-E348</f>
        <v/>
      </c>
      <c r="L348" s="23">
        <f>L347+E348</f>
        <v/>
      </c>
      <c r="M348" s="23">
        <f>M347+H348+MAX(0,-E348)</f>
        <v/>
      </c>
      <c r="N348" s="23">
        <f>N347+MAX(0,E348)</f>
        <v/>
      </c>
    </row>
    <row r="349">
      <c r="A349" s="24" t="n">
        <v>348</v>
      </c>
      <c r="B349" s="25">
        <f>propPrice*(1+monthlyAppn)^A349</f>
        <v/>
      </c>
      <c r="C349" s="25">
        <f>IF(A349&gt;=startRentalMonth, initRent*(1+monthlyRentInf)^(A349-1), 0)</f>
        <v/>
      </c>
      <c r="D349" s="25">
        <f>initMaint*(1+monthlyRentInf)^(A349-1)</f>
        <v/>
      </c>
      <c r="E349" s="25">
        <f>C349*(1-vacancyPct)-D349</f>
        <v/>
      </c>
      <c r="F349" s="25">
        <f>I348</f>
        <v/>
      </c>
      <c r="G349" s="25">
        <f>IF(AND(F349&gt;0, A349&lt;=loanMonths), F349*rMonthly, 0)</f>
        <v/>
      </c>
      <c r="H349" s="25">
        <f>IF(AND(F349&gt;0, A349&lt;=loanMonths), EMI, 0)</f>
        <v/>
      </c>
      <c r="I349" s="25">
        <f>IF(AND(F349&gt;0, A349&lt;=loanMonths), MAX(0, F349-MIN(EMI-G349, F349)), F349)</f>
        <v/>
      </c>
      <c r="J349" s="25">
        <f>K348</f>
        <v/>
      </c>
      <c r="K349" s="25">
        <f>J349*(1+mfMo)+H349-E349</f>
        <v/>
      </c>
      <c r="L349" s="25">
        <f>L348+E349</f>
        <v/>
      </c>
      <c r="M349" s="25">
        <f>M348+H349+MAX(0,-E349)</f>
        <v/>
      </c>
      <c r="N349" s="25">
        <f>N348+MAX(0,E349)</f>
        <v/>
      </c>
    </row>
    <row r="350">
      <c r="A350" s="22" t="n">
        <v>349</v>
      </c>
      <c r="B350" s="23">
        <f>propPrice*(1+monthlyAppn)^A350</f>
        <v/>
      </c>
      <c r="C350" s="23">
        <f>IF(A350&gt;=startRentalMonth, initRent*(1+monthlyRentInf)^(A350-1), 0)</f>
        <v/>
      </c>
      <c r="D350" s="23">
        <f>initMaint*(1+monthlyRentInf)^(A350-1)</f>
        <v/>
      </c>
      <c r="E350" s="23">
        <f>C350*(1-vacancyPct)-D350</f>
        <v/>
      </c>
      <c r="F350" s="23">
        <f>I349</f>
        <v/>
      </c>
      <c r="G350" s="23">
        <f>IF(AND(F350&gt;0, A350&lt;=loanMonths), F350*rMonthly, 0)</f>
        <v/>
      </c>
      <c r="H350" s="23">
        <f>IF(AND(F350&gt;0, A350&lt;=loanMonths), EMI, 0)</f>
        <v/>
      </c>
      <c r="I350" s="23">
        <f>IF(AND(F350&gt;0, A350&lt;=loanMonths), MAX(0, F350-MIN(EMI-G350, F350)), F350)</f>
        <v/>
      </c>
      <c r="J350" s="23">
        <f>K349</f>
        <v/>
      </c>
      <c r="K350" s="23">
        <f>J350*(1+mfMo)+H350-E350</f>
        <v/>
      </c>
      <c r="L350" s="23">
        <f>L349+E350</f>
        <v/>
      </c>
      <c r="M350" s="23">
        <f>M349+H350+MAX(0,-E350)</f>
        <v/>
      </c>
      <c r="N350" s="23">
        <f>N349+MAX(0,E350)</f>
        <v/>
      </c>
    </row>
    <row r="351">
      <c r="A351" s="24" t="n">
        <v>350</v>
      </c>
      <c r="B351" s="25">
        <f>propPrice*(1+monthlyAppn)^A351</f>
        <v/>
      </c>
      <c r="C351" s="25">
        <f>IF(A351&gt;=startRentalMonth, initRent*(1+monthlyRentInf)^(A351-1), 0)</f>
        <v/>
      </c>
      <c r="D351" s="25">
        <f>initMaint*(1+monthlyRentInf)^(A351-1)</f>
        <v/>
      </c>
      <c r="E351" s="25">
        <f>C351*(1-vacancyPct)-D351</f>
        <v/>
      </c>
      <c r="F351" s="25">
        <f>I350</f>
        <v/>
      </c>
      <c r="G351" s="25">
        <f>IF(AND(F351&gt;0, A351&lt;=loanMonths), F351*rMonthly, 0)</f>
        <v/>
      </c>
      <c r="H351" s="25">
        <f>IF(AND(F351&gt;0, A351&lt;=loanMonths), EMI, 0)</f>
        <v/>
      </c>
      <c r="I351" s="25">
        <f>IF(AND(F351&gt;0, A351&lt;=loanMonths), MAX(0, F351-MIN(EMI-G351, F351)), F351)</f>
        <v/>
      </c>
      <c r="J351" s="25">
        <f>K350</f>
        <v/>
      </c>
      <c r="K351" s="25">
        <f>J351*(1+mfMo)+H351-E351</f>
        <v/>
      </c>
      <c r="L351" s="25">
        <f>L350+E351</f>
        <v/>
      </c>
      <c r="M351" s="25">
        <f>M350+H351+MAX(0,-E351)</f>
        <v/>
      </c>
      <c r="N351" s="25">
        <f>N350+MAX(0,E351)</f>
        <v/>
      </c>
    </row>
    <row r="352">
      <c r="A352" s="22" t="n">
        <v>351</v>
      </c>
      <c r="B352" s="23">
        <f>propPrice*(1+monthlyAppn)^A352</f>
        <v/>
      </c>
      <c r="C352" s="23">
        <f>IF(A352&gt;=startRentalMonth, initRent*(1+monthlyRentInf)^(A352-1), 0)</f>
        <v/>
      </c>
      <c r="D352" s="23">
        <f>initMaint*(1+monthlyRentInf)^(A352-1)</f>
        <v/>
      </c>
      <c r="E352" s="23">
        <f>C352*(1-vacancyPct)-D352</f>
        <v/>
      </c>
      <c r="F352" s="23">
        <f>I351</f>
        <v/>
      </c>
      <c r="G352" s="23">
        <f>IF(AND(F352&gt;0, A352&lt;=loanMonths), F352*rMonthly, 0)</f>
        <v/>
      </c>
      <c r="H352" s="23">
        <f>IF(AND(F352&gt;0, A352&lt;=loanMonths), EMI, 0)</f>
        <v/>
      </c>
      <c r="I352" s="23">
        <f>IF(AND(F352&gt;0, A352&lt;=loanMonths), MAX(0, F352-MIN(EMI-G352, F352)), F352)</f>
        <v/>
      </c>
      <c r="J352" s="23">
        <f>K351</f>
        <v/>
      </c>
      <c r="K352" s="23">
        <f>J352*(1+mfMo)+H352-E352</f>
        <v/>
      </c>
      <c r="L352" s="23">
        <f>L351+E352</f>
        <v/>
      </c>
      <c r="M352" s="23">
        <f>M351+H352+MAX(0,-E352)</f>
        <v/>
      </c>
      <c r="N352" s="23">
        <f>N351+MAX(0,E352)</f>
        <v/>
      </c>
    </row>
    <row r="353">
      <c r="A353" s="24" t="n">
        <v>352</v>
      </c>
      <c r="B353" s="25">
        <f>propPrice*(1+monthlyAppn)^A353</f>
        <v/>
      </c>
      <c r="C353" s="25">
        <f>IF(A353&gt;=startRentalMonth, initRent*(1+monthlyRentInf)^(A353-1), 0)</f>
        <v/>
      </c>
      <c r="D353" s="25">
        <f>initMaint*(1+monthlyRentInf)^(A353-1)</f>
        <v/>
      </c>
      <c r="E353" s="25">
        <f>C353*(1-vacancyPct)-D353</f>
        <v/>
      </c>
      <c r="F353" s="25">
        <f>I352</f>
        <v/>
      </c>
      <c r="G353" s="25">
        <f>IF(AND(F353&gt;0, A353&lt;=loanMonths), F353*rMonthly, 0)</f>
        <v/>
      </c>
      <c r="H353" s="25">
        <f>IF(AND(F353&gt;0, A353&lt;=loanMonths), EMI, 0)</f>
        <v/>
      </c>
      <c r="I353" s="25">
        <f>IF(AND(F353&gt;0, A353&lt;=loanMonths), MAX(0, F353-MIN(EMI-G353, F353)), F353)</f>
        <v/>
      </c>
      <c r="J353" s="25">
        <f>K352</f>
        <v/>
      </c>
      <c r="K353" s="25">
        <f>J353*(1+mfMo)+H353-E353</f>
        <v/>
      </c>
      <c r="L353" s="25">
        <f>L352+E353</f>
        <v/>
      </c>
      <c r="M353" s="25">
        <f>M352+H353+MAX(0,-E353)</f>
        <v/>
      </c>
      <c r="N353" s="25">
        <f>N352+MAX(0,E353)</f>
        <v/>
      </c>
    </row>
    <row r="354">
      <c r="A354" s="22" t="n">
        <v>353</v>
      </c>
      <c r="B354" s="23">
        <f>propPrice*(1+monthlyAppn)^A354</f>
        <v/>
      </c>
      <c r="C354" s="23">
        <f>IF(A354&gt;=startRentalMonth, initRent*(1+monthlyRentInf)^(A354-1), 0)</f>
        <v/>
      </c>
      <c r="D354" s="23">
        <f>initMaint*(1+monthlyRentInf)^(A354-1)</f>
        <v/>
      </c>
      <c r="E354" s="23">
        <f>C354*(1-vacancyPct)-D354</f>
        <v/>
      </c>
      <c r="F354" s="23">
        <f>I353</f>
        <v/>
      </c>
      <c r="G354" s="23">
        <f>IF(AND(F354&gt;0, A354&lt;=loanMonths), F354*rMonthly, 0)</f>
        <v/>
      </c>
      <c r="H354" s="23">
        <f>IF(AND(F354&gt;0, A354&lt;=loanMonths), EMI, 0)</f>
        <v/>
      </c>
      <c r="I354" s="23">
        <f>IF(AND(F354&gt;0, A354&lt;=loanMonths), MAX(0, F354-MIN(EMI-G354, F354)), F354)</f>
        <v/>
      </c>
      <c r="J354" s="23">
        <f>K353</f>
        <v/>
      </c>
      <c r="K354" s="23">
        <f>J354*(1+mfMo)+H354-E354</f>
        <v/>
      </c>
      <c r="L354" s="23">
        <f>L353+E354</f>
        <v/>
      </c>
      <c r="M354" s="23">
        <f>M353+H354+MAX(0,-E354)</f>
        <v/>
      </c>
      <c r="N354" s="23">
        <f>N353+MAX(0,E354)</f>
        <v/>
      </c>
    </row>
    <row r="355">
      <c r="A355" s="24" t="n">
        <v>354</v>
      </c>
      <c r="B355" s="25">
        <f>propPrice*(1+monthlyAppn)^A355</f>
        <v/>
      </c>
      <c r="C355" s="25">
        <f>IF(A355&gt;=startRentalMonth, initRent*(1+monthlyRentInf)^(A355-1), 0)</f>
        <v/>
      </c>
      <c r="D355" s="25">
        <f>initMaint*(1+monthlyRentInf)^(A355-1)</f>
        <v/>
      </c>
      <c r="E355" s="25">
        <f>C355*(1-vacancyPct)-D355</f>
        <v/>
      </c>
      <c r="F355" s="25">
        <f>I354</f>
        <v/>
      </c>
      <c r="G355" s="25">
        <f>IF(AND(F355&gt;0, A355&lt;=loanMonths), F355*rMonthly, 0)</f>
        <v/>
      </c>
      <c r="H355" s="25">
        <f>IF(AND(F355&gt;0, A355&lt;=loanMonths), EMI, 0)</f>
        <v/>
      </c>
      <c r="I355" s="25">
        <f>IF(AND(F355&gt;0, A355&lt;=loanMonths), MAX(0, F355-MIN(EMI-G355, F355)), F355)</f>
        <v/>
      </c>
      <c r="J355" s="25">
        <f>K354</f>
        <v/>
      </c>
      <c r="K355" s="25">
        <f>J355*(1+mfMo)+H355-E355</f>
        <v/>
      </c>
      <c r="L355" s="25">
        <f>L354+E355</f>
        <v/>
      </c>
      <c r="M355" s="25">
        <f>M354+H355+MAX(0,-E355)</f>
        <v/>
      </c>
      <c r="N355" s="25">
        <f>N354+MAX(0,E355)</f>
        <v/>
      </c>
    </row>
    <row r="356">
      <c r="A356" s="22" t="n">
        <v>355</v>
      </c>
      <c r="B356" s="23">
        <f>propPrice*(1+monthlyAppn)^A356</f>
        <v/>
      </c>
      <c r="C356" s="23">
        <f>IF(A356&gt;=startRentalMonth, initRent*(1+monthlyRentInf)^(A356-1), 0)</f>
        <v/>
      </c>
      <c r="D356" s="23">
        <f>initMaint*(1+monthlyRentInf)^(A356-1)</f>
        <v/>
      </c>
      <c r="E356" s="23">
        <f>C356*(1-vacancyPct)-D356</f>
        <v/>
      </c>
      <c r="F356" s="23">
        <f>I355</f>
        <v/>
      </c>
      <c r="G356" s="23">
        <f>IF(AND(F356&gt;0, A356&lt;=loanMonths), F356*rMonthly, 0)</f>
        <v/>
      </c>
      <c r="H356" s="23">
        <f>IF(AND(F356&gt;0, A356&lt;=loanMonths), EMI, 0)</f>
        <v/>
      </c>
      <c r="I356" s="23">
        <f>IF(AND(F356&gt;0, A356&lt;=loanMonths), MAX(0, F356-MIN(EMI-G356, F356)), F356)</f>
        <v/>
      </c>
      <c r="J356" s="23">
        <f>K355</f>
        <v/>
      </c>
      <c r="K356" s="23">
        <f>J356*(1+mfMo)+H356-E356</f>
        <v/>
      </c>
      <c r="L356" s="23">
        <f>L355+E356</f>
        <v/>
      </c>
      <c r="M356" s="23">
        <f>M355+H356+MAX(0,-E356)</f>
        <v/>
      </c>
      <c r="N356" s="23">
        <f>N355+MAX(0,E356)</f>
        <v/>
      </c>
    </row>
    <row r="357">
      <c r="A357" s="24" t="n">
        <v>356</v>
      </c>
      <c r="B357" s="25">
        <f>propPrice*(1+monthlyAppn)^A357</f>
        <v/>
      </c>
      <c r="C357" s="25">
        <f>IF(A357&gt;=startRentalMonth, initRent*(1+monthlyRentInf)^(A357-1), 0)</f>
        <v/>
      </c>
      <c r="D357" s="25">
        <f>initMaint*(1+monthlyRentInf)^(A357-1)</f>
        <v/>
      </c>
      <c r="E357" s="25">
        <f>C357*(1-vacancyPct)-D357</f>
        <v/>
      </c>
      <c r="F357" s="25">
        <f>I356</f>
        <v/>
      </c>
      <c r="G357" s="25">
        <f>IF(AND(F357&gt;0, A357&lt;=loanMonths), F357*rMonthly, 0)</f>
        <v/>
      </c>
      <c r="H357" s="25">
        <f>IF(AND(F357&gt;0, A357&lt;=loanMonths), EMI, 0)</f>
        <v/>
      </c>
      <c r="I357" s="25">
        <f>IF(AND(F357&gt;0, A357&lt;=loanMonths), MAX(0, F357-MIN(EMI-G357, F357)), F357)</f>
        <v/>
      </c>
      <c r="J357" s="25">
        <f>K356</f>
        <v/>
      </c>
      <c r="K357" s="25">
        <f>J357*(1+mfMo)+H357-E357</f>
        <v/>
      </c>
      <c r="L357" s="25">
        <f>L356+E357</f>
        <v/>
      </c>
      <c r="M357" s="25">
        <f>M356+H357+MAX(0,-E357)</f>
        <v/>
      </c>
      <c r="N357" s="25">
        <f>N356+MAX(0,E357)</f>
        <v/>
      </c>
    </row>
    <row r="358">
      <c r="A358" s="22" t="n">
        <v>357</v>
      </c>
      <c r="B358" s="23">
        <f>propPrice*(1+monthlyAppn)^A358</f>
        <v/>
      </c>
      <c r="C358" s="23">
        <f>IF(A358&gt;=startRentalMonth, initRent*(1+monthlyRentInf)^(A358-1), 0)</f>
        <v/>
      </c>
      <c r="D358" s="23">
        <f>initMaint*(1+monthlyRentInf)^(A358-1)</f>
        <v/>
      </c>
      <c r="E358" s="23">
        <f>C358*(1-vacancyPct)-D358</f>
        <v/>
      </c>
      <c r="F358" s="23">
        <f>I357</f>
        <v/>
      </c>
      <c r="G358" s="23">
        <f>IF(AND(F358&gt;0, A358&lt;=loanMonths), F358*rMonthly, 0)</f>
        <v/>
      </c>
      <c r="H358" s="23">
        <f>IF(AND(F358&gt;0, A358&lt;=loanMonths), EMI, 0)</f>
        <v/>
      </c>
      <c r="I358" s="23">
        <f>IF(AND(F358&gt;0, A358&lt;=loanMonths), MAX(0, F358-MIN(EMI-G358, F358)), F358)</f>
        <v/>
      </c>
      <c r="J358" s="23">
        <f>K357</f>
        <v/>
      </c>
      <c r="K358" s="23">
        <f>J358*(1+mfMo)+H358-E358</f>
        <v/>
      </c>
      <c r="L358" s="23">
        <f>L357+E358</f>
        <v/>
      </c>
      <c r="M358" s="23">
        <f>M357+H358+MAX(0,-E358)</f>
        <v/>
      </c>
      <c r="N358" s="23">
        <f>N357+MAX(0,E358)</f>
        <v/>
      </c>
    </row>
    <row r="359">
      <c r="A359" s="24" t="n">
        <v>358</v>
      </c>
      <c r="B359" s="25">
        <f>propPrice*(1+monthlyAppn)^A359</f>
        <v/>
      </c>
      <c r="C359" s="25">
        <f>IF(A359&gt;=startRentalMonth, initRent*(1+monthlyRentInf)^(A359-1), 0)</f>
        <v/>
      </c>
      <c r="D359" s="25">
        <f>initMaint*(1+monthlyRentInf)^(A359-1)</f>
        <v/>
      </c>
      <c r="E359" s="25">
        <f>C359*(1-vacancyPct)-D359</f>
        <v/>
      </c>
      <c r="F359" s="25">
        <f>I358</f>
        <v/>
      </c>
      <c r="G359" s="25">
        <f>IF(AND(F359&gt;0, A359&lt;=loanMonths), F359*rMonthly, 0)</f>
        <v/>
      </c>
      <c r="H359" s="25">
        <f>IF(AND(F359&gt;0, A359&lt;=loanMonths), EMI, 0)</f>
        <v/>
      </c>
      <c r="I359" s="25">
        <f>IF(AND(F359&gt;0, A359&lt;=loanMonths), MAX(0, F359-MIN(EMI-G359, F359)), F359)</f>
        <v/>
      </c>
      <c r="J359" s="25">
        <f>K358</f>
        <v/>
      </c>
      <c r="K359" s="25">
        <f>J359*(1+mfMo)+H359-E359</f>
        <v/>
      </c>
      <c r="L359" s="25">
        <f>L358+E359</f>
        <v/>
      </c>
      <c r="M359" s="25">
        <f>M358+H359+MAX(0,-E359)</f>
        <v/>
      </c>
      <c r="N359" s="25">
        <f>N358+MAX(0,E359)</f>
        <v/>
      </c>
    </row>
    <row r="360">
      <c r="A360" s="22" t="n">
        <v>359</v>
      </c>
      <c r="B360" s="23">
        <f>propPrice*(1+monthlyAppn)^A360</f>
        <v/>
      </c>
      <c r="C360" s="23">
        <f>IF(A360&gt;=startRentalMonth, initRent*(1+monthlyRentInf)^(A360-1), 0)</f>
        <v/>
      </c>
      <c r="D360" s="23">
        <f>initMaint*(1+monthlyRentInf)^(A360-1)</f>
        <v/>
      </c>
      <c r="E360" s="23">
        <f>C360*(1-vacancyPct)-D360</f>
        <v/>
      </c>
      <c r="F360" s="23">
        <f>I359</f>
        <v/>
      </c>
      <c r="G360" s="23">
        <f>IF(AND(F360&gt;0, A360&lt;=loanMonths), F360*rMonthly, 0)</f>
        <v/>
      </c>
      <c r="H360" s="23">
        <f>IF(AND(F360&gt;0, A360&lt;=loanMonths), EMI, 0)</f>
        <v/>
      </c>
      <c r="I360" s="23">
        <f>IF(AND(F360&gt;0, A360&lt;=loanMonths), MAX(0, F360-MIN(EMI-G360, F360)), F360)</f>
        <v/>
      </c>
      <c r="J360" s="23">
        <f>K359</f>
        <v/>
      </c>
      <c r="K360" s="23">
        <f>J360*(1+mfMo)+H360-E360</f>
        <v/>
      </c>
      <c r="L360" s="23">
        <f>L359+E360</f>
        <v/>
      </c>
      <c r="M360" s="23">
        <f>M359+H360+MAX(0,-E360)</f>
        <v/>
      </c>
      <c r="N360" s="23">
        <f>N359+MAX(0,E360)</f>
        <v/>
      </c>
    </row>
    <row r="361">
      <c r="A361" s="24" t="n">
        <v>360</v>
      </c>
      <c r="B361" s="25">
        <f>propPrice*(1+monthlyAppn)^A361</f>
        <v/>
      </c>
      <c r="C361" s="25">
        <f>IF(A361&gt;=startRentalMonth, initRent*(1+monthlyRentInf)^(A361-1), 0)</f>
        <v/>
      </c>
      <c r="D361" s="25">
        <f>initMaint*(1+monthlyRentInf)^(A361-1)</f>
        <v/>
      </c>
      <c r="E361" s="25">
        <f>C361*(1-vacancyPct)-D361</f>
        <v/>
      </c>
      <c r="F361" s="25">
        <f>I360</f>
        <v/>
      </c>
      <c r="G361" s="25">
        <f>IF(AND(F361&gt;0, A361&lt;=loanMonths), F361*rMonthly, 0)</f>
        <v/>
      </c>
      <c r="H361" s="25">
        <f>IF(AND(F361&gt;0, A361&lt;=loanMonths), EMI, 0)</f>
        <v/>
      </c>
      <c r="I361" s="25">
        <f>IF(AND(F361&gt;0, A361&lt;=loanMonths), MAX(0, F361-MIN(EMI-G361, F361)), F361)</f>
        <v/>
      </c>
      <c r="J361" s="25">
        <f>K360</f>
        <v/>
      </c>
      <c r="K361" s="25">
        <f>J361*(1+mfMo)+H361-E361</f>
        <v/>
      </c>
      <c r="L361" s="25">
        <f>L360+E361</f>
        <v/>
      </c>
      <c r="M361" s="25">
        <f>M360+H361+MAX(0,-E361)</f>
        <v/>
      </c>
      <c r="N361" s="25">
        <f>N360+MAX(0,E361)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 ht="28" customHeight="1">
      <c r="A1" s="21" t="inlineStr">
        <is>
          <t>Year</t>
        </is>
      </c>
      <c r="B1" s="21" t="inlineStr">
        <is>
          <t>House Value</t>
        </is>
      </c>
      <c r="C1" s="21" t="inlineStr">
        <is>
          <t>Loan Balance</t>
        </is>
      </c>
      <c r="D1" s="21" t="inlineStr">
        <is>
          <t>House Net Worth</t>
        </is>
      </c>
      <c r="E1" s="21" t="inlineStr">
        <is>
          <t>MF Balance</t>
        </is>
      </c>
      <c r="F1" s="21" t="inlineStr">
        <is>
          <t>Cum Rent Net</t>
        </is>
      </c>
      <c r="G1" s="21" t="inlineStr">
        <is>
          <t>Cum SIP</t>
        </is>
      </c>
      <c r="H1" s="21" t="inlineStr">
        <is>
          <t>Cum SWP</t>
        </is>
      </c>
      <c r="I1" s="21" t="inlineStr">
        <is>
          <t>Δ (MF − House)</t>
        </is>
      </c>
    </row>
    <row r="2">
      <c r="A2" s="22">
        <f>IF(1&lt;=horizonY, 1, "")</f>
        <v/>
      </c>
      <c r="B2" s="23">
        <f>IF(1&lt;=horizonY, 'Monthly Detail'!B13, NA())</f>
        <v/>
      </c>
      <c r="C2" s="23">
        <f>IF(1&lt;=horizonY, 'Monthly Detail'!I13, NA())</f>
        <v/>
      </c>
      <c r="D2" s="23">
        <f>IF(1&lt;=horizonY, B2-C2, NA())</f>
        <v/>
      </c>
      <c r="E2" s="23">
        <f>IF(1&lt;=horizonY, 'Monthly Detail'!K13, NA())</f>
        <v/>
      </c>
      <c r="F2" s="23">
        <f>IF(1&lt;=horizonY, 'Monthly Detail'!L13, NA())</f>
        <v/>
      </c>
      <c r="G2" s="23">
        <f>IF(1&lt;=horizonY, 'Monthly Detail'!M13, NA())</f>
        <v/>
      </c>
      <c r="H2" s="23">
        <f>IF(1&lt;=horizonY, 'Monthly Detail'!N13, NA())</f>
        <v/>
      </c>
      <c r="I2" s="23">
        <f>IF(1&lt;=horizonY, E2-D2, NA())</f>
        <v/>
      </c>
    </row>
    <row r="3">
      <c r="A3" s="24">
        <f>IF(2&lt;=horizonY, 2, "")</f>
        <v/>
      </c>
      <c r="B3" s="25">
        <f>IF(2&lt;=horizonY, 'Monthly Detail'!B25, NA())</f>
        <v/>
      </c>
      <c r="C3" s="25">
        <f>IF(2&lt;=horizonY, 'Monthly Detail'!I25, NA())</f>
        <v/>
      </c>
      <c r="D3" s="25">
        <f>IF(2&lt;=horizonY, B3-C3, NA())</f>
        <v/>
      </c>
      <c r="E3" s="25">
        <f>IF(2&lt;=horizonY, 'Monthly Detail'!K25, NA())</f>
        <v/>
      </c>
      <c r="F3" s="25">
        <f>IF(2&lt;=horizonY, 'Monthly Detail'!L25, NA())</f>
        <v/>
      </c>
      <c r="G3" s="25">
        <f>IF(2&lt;=horizonY, 'Monthly Detail'!M25, NA())</f>
        <v/>
      </c>
      <c r="H3" s="25">
        <f>IF(2&lt;=horizonY, 'Monthly Detail'!N25, NA())</f>
        <v/>
      </c>
      <c r="I3" s="25">
        <f>IF(2&lt;=horizonY, E3-D3, NA())</f>
        <v/>
      </c>
    </row>
    <row r="4">
      <c r="A4" s="22">
        <f>IF(3&lt;=horizonY, 3, "")</f>
        <v/>
      </c>
      <c r="B4" s="23">
        <f>IF(3&lt;=horizonY, 'Monthly Detail'!B37, NA())</f>
        <v/>
      </c>
      <c r="C4" s="23">
        <f>IF(3&lt;=horizonY, 'Monthly Detail'!I37, NA())</f>
        <v/>
      </c>
      <c r="D4" s="23">
        <f>IF(3&lt;=horizonY, B4-C4, NA())</f>
        <v/>
      </c>
      <c r="E4" s="23">
        <f>IF(3&lt;=horizonY, 'Monthly Detail'!K37, NA())</f>
        <v/>
      </c>
      <c r="F4" s="23">
        <f>IF(3&lt;=horizonY, 'Monthly Detail'!L37, NA())</f>
        <v/>
      </c>
      <c r="G4" s="23">
        <f>IF(3&lt;=horizonY, 'Monthly Detail'!M37, NA())</f>
        <v/>
      </c>
      <c r="H4" s="23">
        <f>IF(3&lt;=horizonY, 'Monthly Detail'!N37, NA())</f>
        <v/>
      </c>
      <c r="I4" s="23">
        <f>IF(3&lt;=horizonY, E4-D4, NA())</f>
        <v/>
      </c>
    </row>
    <row r="5">
      <c r="A5" s="24">
        <f>IF(4&lt;=horizonY, 4, "")</f>
        <v/>
      </c>
      <c r="B5" s="25">
        <f>IF(4&lt;=horizonY, 'Monthly Detail'!B49, NA())</f>
        <v/>
      </c>
      <c r="C5" s="25">
        <f>IF(4&lt;=horizonY, 'Monthly Detail'!I49, NA())</f>
        <v/>
      </c>
      <c r="D5" s="25">
        <f>IF(4&lt;=horizonY, B5-C5, NA())</f>
        <v/>
      </c>
      <c r="E5" s="25">
        <f>IF(4&lt;=horizonY, 'Monthly Detail'!K49, NA())</f>
        <v/>
      </c>
      <c r="F5" s="25">
        <f>IF(4&lt;=horizonY, 'Monthly Detail'!L49, NA())</f>
        <v/>
      </c>
      <c r="G5" s="25">
        <f>IF(4&lt;=horizonY, 'Monthly Detail'!M49, NA())</f>
        <v/>
      </c>
      <c r="H5" s="25">
        <f>IF(4&lt;=horizonY, 'Monthly Detail'!N49, NA())</f>
        <v/>
      </c>
      <c r="I5" s="25">
        <f>IF(4&lt;=horizonY, E5-D5, NA())</f>
        <v/>
      </c>
    </row>
    <row r="6">
      <c r="A6" s="22">
        <f>IF(5&lt;=horizonY, 5, "")</f>
        <v/>
      </c>
      <c r="B6" s="23">
        <f>IF(5&lt;=horizonY, 'Monthly Detail'!B61, NA())</f>
        <v/>
      </c>
      <c r="C6" s="23">
        <f>IF(5&lt;=horizonY, 'Monthly Detail'!I61, NA())</f>
        <v/>
      </c>
      <c r="D6" s="23">
        <f>IF(5&lt;=horizonY, B6-C6, NA())</f>
        <v/>
      </c>
      <c r="E6" s="23">
        <f>IF(5&lt;=horizonY, 'Monthly Detail'!K61, NA())</f>
        <v/>
      </c>
      <c r="F6" s="23">
        <f>IF(5&lt;=horizonY, 'Monthly Detail'!L61, NA())</f>
        <v/>
      </c>
      <c r="G6" s="23">
        <f>IF(5&lt;=horizonY, 'Monthly Detail'!M61, NA())</f>
        <v/>
      </c>
      <c r="H6" s="23">
        <f>IF(5&lt;=horizonY, 'Monthly Detail'!N61, NA())</f>
        <v/>
      </c>
      <c r="I6" s="23">
        <f>IF(5&lt;=horizonY, E6-D6, NA())</f>
        <v/>
      </c>
    </row>
    <row r="7">
      <c r="A7" s="24">
        <f>IF(6&lt;=horizonY, 6, "")</f>
        <v/>
      </c>
      <c r="B7" s="25">
        <f>IF(6&lt;=horizonY, 'Monthly Detail'!B73, NA())</f>
        <v/>
      </c>
      <c r="C7" s="25">
        <f>IF(6&lt;=horizonY, 'Monthly Detail'!I73, NA())</f>
        <v/>
      </c>
      <c r="D7" s="25">
        <f>IF(6&lt;=horizonY, B7-C7, NA())</f>
        <v/>
      </c>
      <c r="E7" s="25">
        <f>IF(6&lt;=horizonY, 'Monthly Detail'!K73, NA())</f>
        <v/>
      </c>
      <c r="F7" s="25">
        <f>IF(6&lt;=horizonY, 'Monthly Detail'!L73, NA())</f>
        <v/>
      </c>
      <c r="G7" s="25">
        <f>IF(6&lt;=horizonY, 'Monthly Detail'!M73, NA())</f>
        <v/>
      </c>
      <c r="H7" s="25">
        <f>IF(6&lt;=horizonY, 'Monthly Detail'!N73, NA())</f>
        <v/>
      </c>
      <c r="I7" s="25">
        <f>IF(6&lt;=horizonY, E7-D7, NA())</f>
        <v/>
      </c>
    </row>
    <row r="8">
      <c r="A8" s="22">
        <f>IF(7&lt;=horizonY, 7, "")</f>
        <v/>
      </c>
      <c r="B8" s="23">
        <f>IF(7&lt;=horizonY, 'Monthly Detail'!B85, NA())</f>
        <v/>
      </c>
      <c r="C8" s="23">
        <f>IF(7&lt;=horizonY, 'Monthly Detail'!I85, NA())</f>
        <v/>
      </c>
      <c r="D8" s="23">
        <f>IF(7&lt;=horizonY, B8-C8, NA())</f>
        <v/>
      </c>
      <c r="E8" s="23">
        <f>IF(7&lt;=horizonY, 'Monthly Detail'!K85, NA())</f>
        <v/>
      </c>
      <c r="F8" s="23">
        <f>IF(7&lt;=horizonY, 'Monthly Detail'!L85, NA())</f>
        <v/>
      </c>
      <c r="G8" s="23">
        <f>IF(7&lt;=horizonY, 'Monthly Detail'!M85, NA())</f>
        <v/>
      </c>
      <c r="H8" s="23">
        <f>IF(7&lt;=horizonY, 'Monthly Detail'!N85, NA())</f>
        <v/>
      </c>
      <c r="I8" s="23">
        <f>IF(7&lt;=horizonY, E8-D8, NA())</f>
        <v/>
      </c>
    </row>
    <row r="9">
      <c r="A9" s="24">
        <f>IF(8&lt;=horizonY, 8, "")</f>
        <v/>
      </c>
      <c r="B9" s="25">
        <f>IF(8&lt;=horizonY, 'Monthly Detail'!B97, NA())</f>
        <v/>
      </c>
      <c r="C9" s="25">
        <f>IF(8&lt;=horizonY, 'Monthly Detail'!I97, NA())</f>
        <v/>
      </c>
      <c r="D9" s="25">
        <f>IF(8&lt;=horizonY, B9-C9, NA())</f>
        <v/>
      </c>
      <c r="E9" s="25">
        <f>IF(8&lt;=horizonY, 'Monthly Detail'!K97, NA())</f>
        <v/>
      </c>
      <c r="F9" s="25">
        <f>IF(8&lt;=horizonY, 'Monthly Detail'!L97, NA())</f>
        <v/>
      </c>
      <c r="G9" s="25">
        <f>IF(8&lt;=horizonY, 'Monthly Detail'!M97, NA())</f>
        <v/>
      </c>
      <c r="H9" s="25">
        <f>IF(8&lt;=horizonY, 'Monthly Detail'!N97, NA())</f>
        <v/>
      </c>
      <c r="I9" s="25">
        <f>IF(8&lt;=horizonY, E9-D9, NA())</f>
        <v/>
      </c>
    </row>
    <row r="10">
      <c r="A10" s="22">
        <f>IF(9&lt;=horizonY, 9, "")</f>
        <v/>
      </c>
      <c r="B10" s="23">
        <f>IF(9&lt;=horizonY, 'Monthly Detail'!B109, NA())</f>
        <v/>
      </c>
      <c r="C10" s="23">
        <f>IF(9&lt;=horizonY, 'Monthly Detail'!I109, NA())</f>
        <v/>
      </c>
      <c r="D10" s="23">
        <f>IF(9&lt;=horizonY, B10-C10, NA())</f>
        <v/>
      </c>
      <c r="E10" s="23">
        <f>IF(9&lt;=horizonY, 'Monthly Detail'!K109, NA())</f>
        <v/>
      </c>
      <c r="F10" s="23">
        <f>IF(9&lt;=horizonY, 'Monthly Detail'!L109, NA())</f>
        <v/>
      </c>
      <c r="G10" s="23">
        <f>IF(9&lt;=horizonY, 'Monthly Detail'!M109, NA())</f>
        <v/>
      </c>
      <c r="H10" s="23">
        <f>IF(9&lt;=horizonY, 'Monthly Detail'!N109, NA())</f>
        <v/>
      </c>
      <c r="I10" s="23">
        <f>IF(9&lt;=horizonY, E10-D10, NA())</f>
        <v/>
      </c>
    </row>
    <row r="11">
      <c r="A11" s="24">
        <f>IF(10&lt;=horizonY, 10, "")</f>
        <v/>
      </c>
      <c r="B11" s="25">
        <f>IF(10&lt;=horizonY, 'Monthly Detail'!B121, NA())</f>
        <v/>
      </c>
      <c r="C11" s="25">
        <f>IF(10&lt;=horizonY, 'Monthly Detail'!I121, NA())</f>
        <v/>
      </c>
      <c r="D11" s="25">
        <f>IF(10&lt;=horizonY, B11-C11, NA())</f>
        <v/>
      </c>
      <c r="E11" s="25">
        <f>IF(10&lt;=horizonY, 'Monthly Detail'!K121, NA())</f>
        <v/>
      </c>
      <c r="F11" s="25">
        <f>IF(10&lt;=horizonY, 'Monthly Detail'!L121, NA())</f>
        <v/>
      </c>
      <c r="G11" s="25">
        <f>IF(10&lt;=horizonY, 'Monthly Detail'!M121, NA())</f>
        <v/>
      </c>
      <c r="H11" s="25">
        <f>IF(10&lt;=horizonY, 'Monthly Detail'!N121, NA())</f>
        <v/>
      </c>
      <c r="I11" s="25">
        <f>IF(10&lt;=horizonY, E11-D11, NA())</f>
        <v/>
      </c>
    </row>
    <row r="12">
      <c r="A12" s="22">
        <f>IF(11&lt;=horizonY, 11, "")</f>
        <v/>
      </c>
      <c r="B12" s="23">
        <f>IF(11&lt;=horizonY, 'Monthly Detail'!B133, NA())</f>
        <v/>
      </c>
      <c r="C12" s="23">
        <f>IF(11&lt;=horizonY, 'Monthly Detail'!I133, NA())</f>
        <v/>
      </c>
      <c r="D12" s="23">
        <f>IF(11&lt;=horizonY, B12-C12, NA())</f>
        <v/>
      </c>
      <c r="E12" s="23">
        <f>IF(11&lt;=horizonY, 'Monthly Detail'!K133, NA())</f>
        <v/>
      </c>
      <c r="F12" s="23">
        <f>IF(11&lt;=horizonY, 'Monthly Detail'!L133, NA())</f>
        <v/>
      </c>
      <c r="G12" s="23">
        <f>IF(11&lt;=horizonY, 'Monthly Detail'!M133, NA())</f>
        <v/>
      </c>
      <c r="H12" s="23">
        <f>IF(11&lt;=horizonY, 'Monthly Detail'!N133, NA())</f>
        <v/>
      </c>
      <c r="I12" s="23">
        <f>IF(11&lt;=horizonY, E12-D12, NA())</f>
        <v/>
      </c>
    </row>
    <row r="13">
      <c r="A13" s="24">
        <f>IF(12&lt;=horizonY, 12, "")</f>
        <v/>
      </c>
      <c r="B13" s="25">
        <f>IF(12&lt;=horizonY, 'Monthly Detail'!B145, NA())</f>
        <v/>
      </c>
      <c r="C13" s="25">
        <f>IF(12&lt;=horizonY, 'Monthly Detail'!I145, NA())</f>
        <v/>
      </c>
      <c r="D13" s="25">
        <f>IF(12&lt;=horizonY, B13-C13, NA())</f>
        <v/>
      </c>
      <c r="E13" s="25">
        <f>IF(12&lt;=horizonY, 'Monthly Detail'!K145, NA())</f>
        <v/>
      </c>
      <c r="F13" s="25">
        <f>IF(12&lt;=horizonY, 'Monthly Detail'!L145, NA())</f>
        <v/>
      </c>
      <c r="G13" s="25">
        <f>IF(12&lt;=horizonY, 'Monthly Detail'!M145, NA())</f>
        <v/>
      </c>
      <c r="H13" s="25">
        <f>IF(12&lt;=horizonY, 'Monthly Detail'!N145, NA())</f>
        <v/>
      </c>
      <c r="I13" s="25">
        <f>IF(12&lt;=horizonY, E13-D13, NA())</f>
        <v/>
      </c>
    </row>
    <row r="14">
      <c r="A14" s="22">
        <f>IF(13&lt;=horizonY, 13, "")</f>
        <v/>
      </c>
      <c r="B14" s="23">
        <f>IF(13&lt;=horizonY, 'Monthly Detail'!B157, NA())</f>
        <v/>
      </c>
      <c r="C14" s="23">
        <f>IF(13&lt;=horizonY, 'Monthly Detail'!I157, NA())</f>
        <v/>
      </c>
      <c r="D14" s="23">
        <f>IF(13&lt;=horizonY, B14-C14, NA())</f>
        <v/>
      </c>
      <c r="E14" s="23">
        <f>IF(13&lt;=horizonY, 'Monthly Detail'!K157, NA())</f>
        <v/>
      </c>
      <c r="F14" s="23">
        <f>IF(13&lt;=horizonY, 'Monthly Detail'!L157, NA())</f>
        <v/>
      </c>
      <c r="G14" s="23">
        <f>IF(13&lt;=horizonY, 'Monthly Detail'!M157, NA())</f>
        <v/>
      </c>
      <c r="H14" s="23">
        <f>IF(13&lt;=horizonY, 'Monthly Detail'!N157, NA())</f>
        <v/>
      </c>
      <c r="I14" s="23">
        <f>IF(13&lt;=horizonY, E14-D14, NA())</f>
        <v/>
      </c>
    </row>
    <row r="15">
      <c r="A15" s="24">
        <f>IF(14&lt;=horizonY, 14, "")</f>
        <v/>
      </c>
      <c r="B15" s="25">
        <f>IF(14&lt;=horizonY, 'Monthly Detail'!B169, NA())</f>
        <v/>
      </c>
      <c r="C15" s="25">
        <f>IF(14&lt;=horizonY, 'Monthly Detail'!I169, NA())</f>
        <v/>
      </c>
      <c r="D15" s="25">
        <f>IF(14&lt;=horizonY, B15-C15, NA())</f>
        <v/>
      </c>
      <c r="E15" s="25">
        <f>IF(14&lt;=horizonY, 'Monthly Detail'!K169, NA())</f>
        <v/>
      </c>
      <c r="F15" s="25">
        <f>IF(14&lt;=horizonY, 'Monthly Detail'!L169, NA())</f>
        <v/>
      </c>
      <c r="G15" s="25">
        <f>IF(14&lt;=horizonY, 'Monthly Detail'!M169, NA())</f>
        <v/>
      </c>
      <c r="H15" s="25">
        <f>IF(14&lt;=horizonY, 'Monthly Detail'!N169, NA())</f>
        <v/>
      </c>
      <c r="I15" s="25">
        <f>IF(14&lt;=horizonY, E15-D15, NA())</f>
        <v/>
      </c>
    </row>
    <row r="16">
      <c r="A16" s="22">
        <f>IF(15&lt;=horizonY, 15, "")</f>
        <v/>
      </c>
      <c r="B16" s="23">
        <f>IF(15&lt;=horizonY, 'Monthly Detail'!B181, NA())</f>
        <v/>
      </c>
      <c r="C16" s="23">
        <f>IF(15&lt;=horizonY, 'Monthly Detail'!I181, NA())</f>
        <v/>
      </c>
      <c r="D16" s="23">
        <f>IF(15&lt;=horizonY, B16-C16, NA())</f>
        <v/>
      </c>
      <c r="E16" s="23">
        <f>IF(15&lt;=horizonY, 'Monthly Detail'!K181, NA())</f>
        <v/>
      </c>
      <c r="F16" s="23">
        <f>IF(15&lt;=horizonY, 'Monthly Detail'!L181, NA())</f>
        <v/>
      </c>
      <c r="G16" s="23">
        <f>IF(15&lt;=horizonY, 'Monthly Detail'!M181, NA())</f>
        <v/>
      </c>
      <c r="H16" s="23">
        <f>IF(15&lt;=horizonY, 'Monthly Detail'!N181, NA())</f>
        <v/>
      </c>
      <c r="I16" s="23">
        <f>IF(15&lt;=horizonY, E16-D16, NA())</f>
        <v/>
      </c>
    </row>
    <row r="17">
      <c r="A17" s="24">
        <f>IF(16&lt;=horizonY, 16, "")</f>
        <v/>
      </c>
      <c r="B17" s="25">
        <f>IF(16&lt;=horizonY, 'Monthly Detail'!B193, NA())</f>
        <v/>
      </c>
      <c r="C17" s="25">
        <f>IF(16&lt;=horizonY, 'Monthly Detail'!I193, NA())</f>
        <v/>
      </c>
      <c r="D17" s="25">
        <f>IF(16&lt;=horizonY, B17-C17, NA())</f>
        <v/>
      </c>
      <c r="E17" s="25">
        <f>IF(16&lt;=horizonY, 'Monthly Detail'!K193, NA())</f>
        <v/>
      </c>
      <c r="F17" s="25">
        <f>IF(16&lt;=horizonY, 'Monthly Detail'!L193, NA())</f>
        <v/>
      </c>
      <c r="G17" s="25">
        <f>IF(16&lt;=horizonY, 'Monthly Detail'!M193, NA())</f>
        <v/>
      </c>
      <c r="H17" s="25">
        <f>IF(16&lt;=horizonY, 'Monthly Detail'!N193, NA())</f>
        <v/>
      </c>
      <c r="I17" s="25">
        <f>IF(16&lt;=horizonY, E17-D17, NA())</f>
        <v/>
      </c>
    </row>
    <row r="18">
      <c r="A18" s="22">
        <f>IF(17&lt;=horizonY, 17, "")</f>
        <v/>
      </c>
      <c r="B18" s="23">
        <f>IF(17&lt;=horizonY, 'Monthly Detail'!B205, NA())</f>
        <v/>
      </c>
      <c r="C18" s="23">
        <f>IF(17&lt;=horizonY, 'Monthly Detail'!I205, NA())</f>
        <v/>
      </c>
      <c r="D18" s="23">
        <f>IF(17&lt;=horizonY, B18-C18, NA())</f>
        <v/>
      </c>
      <c r="E18" s="23">
        <f>IF(17&lt;=horizonY, 'Monthly Detail'!K205, NA())</f>
        <v/>
      </c>
      <c r="F18" s="23">
        <f>IF(17&lt;=horizonY, 'Monthly Detail'!L205, NA())</f>
        <v/>
      </c>
      <c r="G18" s="23">
        <f>IF(17&lt;=horizonY, 'Monthly Detail'!M205, NA())</f>
        <v/>
      </c>
      <c r="H18" s="23">
        <f>IF(17&lt;=horizonY, 'Monthly Detail'!N205, NA())</f>
        <v/>
      </c>
      <c r="I18" s="23">
        <f>IF(17&lt;=horizonY, E18-D18, NA())</f>
        <v/>
      </c>
    </row>
    <row r="19">
      <c r="A19" s="24">
        <f>IF(18&lt;=horizonY, 18, "")</f>
        <v/>
      </c>
      <c r="B19" s="25">
        <f>IF(18&lt;=horizonY, 'Monthly Detail'!B217, NA())</f>
        <v/>
      </c>
      <c r="C19" s="25">
        <f>IF(18&lt;=horizonY, 'Monthly Detail'!I217, NA())</f>
        <v/>
      </c>
      <c r="D19" s="25">
        <f>IF(18&lt;=horizonY, B19-C19, NA())</f>
        <v/>
      </c>
      <c r="E19" s="25">
        <f>IF(18&lt;=horizonY, 'Monthly Detail'!K217, NA())</f>
        <v/>
      </c>
      <c r="F19" s="25">
        <f>IF(18&lt;=horizonY, 'Monthly Detail'!L217, NA())</f>
        <v/>
      </c>
      <c r="G19" s="25">
        <f>IF(18&lt;=horizonY, 'Monthly Detail'!M217, NA())</f>
        <v/>
      </c>
      <c r="H19" s="25">
        <f>IF(18&lt;=horizonY, 'Monthly Detail'!N217, NA())</f>
        <v/>
      </c>
      <c r="I19" s="25">
        <f>IF(18&lt;=horizonY, E19-D19, NA())</f>
        <v/>
      </c>
    </row>
    <row r="20">
      <c r="A20" s="22">
        <f>IF(19&lt;=horizonY, 19, "")</f>
        <v/>
      </c>
      <c r="B20" s="23">
        <f>IF(19&lt;=horizonY, 'Monthly Detail'!B229, NA())</f>
        <v/>
      </c>
      <c r="C20" s="23">
        <f>IF(19&lt;=horizonY, 'Monthly Detail'!I229, NA())</f>
        <v/>
      </c>
      <c r="D20" s="23">
        <f>IF(19&lt;=horizonY, B20-C20, NA())</f>
        <v/>
      </c>
      <c r="E20" s="23">
        <f>IF(19&lt;=horizonY, 'Monthly Detail'!K229, NA())</f>
        <v/>
      </c>
      <c r="F20" s="23">
        <f>IF(19&lt;=horizonY, 'Monthly Detail'!L229, NA())</f>
        <v/>
      </c>
      <c r="G20" s="23">
        <f>IF(19&lt;=horizonY, 'Monthly Detail'!M229, NA())</f>
        <v/>
      </c>
      <c r="H20" s="23">
        <f>IF(19&lt;=horizonY, 'Monthly Detail'!N229, NA())</f>
        <v/>
      </c>
      <c r="I20" s="23">
        <f>IF(19&lt;=horizonY, E20-D20, NA())</f>
        <v/>
      </c>
    </row>
    <row r="21">
      <c r="A21" s="24">
        <f>IF(20&lt;=horizonY, 20, "")</f>
        <v/>
      </c>
      <c r="B21" s="25">
        <f>IF(20&lt;=horizonY, 'Monthly Detail'!B241, NA())</f>
        <v/>
      </c>
      <c r="C21" s="25">
        <f>IF(20&lt;=horizonY, 'Monthly Detail'!I241, NA())</f>
        <v/>
      </c>
      <c r="D21" s="25">
        <f>IF(20&lt;=horizonY, B21-C21, NA())</f>
        <v/>
      </c>
      <c r="E21" s="25">
        <f>IF(20&lt;=horizonY, 'Monthly Detail'!K241, NA())</f>
        <v/>
      </c>
      <c r="F21" s="25">
        <f>IF(20&lt;=horizonY, 'Monthly Detail'!L241, NA())</f>
        <v/>
      </c>
      <c r="G21" s="25">
        <f>IF(20&lt;=horizonY, 'Monthly Detail'!M241, NA())</f>
        <v/>
      </c>
      <c r="H21" s="25">
        <f>IF(20&lt;=horizonY, 'Monthly Detail'!N241, NA())</f>
        <v/>
      </c>
      <c r="I21" s="25">
        <f>IF(20&lt;=horizonY, E21-D21, NA())</f>
        <v/>
      </c>
    </row>
    <row r="22">
      <c r="A22" s="22">
        <f>IF(21&lt;=horizonY, 21, "")</f>
        <v/>
      </c>
      <c r="B22" s="23">
        <f>IF(21&lt;=horizonY, 'Monthly Detail'!B253, NA())</f>
        <v/>
      </c>
      <c r="C22" s="23">
        <f>IF(21&lt;=horizonY, 'Monthly Detail'!I253, NA())</f>
        <v/>
      </c>
      <c r="D22" s="23">
        <f>IF(21&lt;=horizonY, B22-C22, NA())</f>
        <v/>
      </c>
      <c r="E22" s="23">
        <f>IF(21&lt;=horizonY, 'Monthly Detail'!K253, NA())</f>
        <v/>
      </c>
      <c r="F22" s="23">
        <f>IF(21&lt;=horizonY, 'Monthly Detail'!L253, NA())</f>
        <v/>
      </c>
      <c r="G22" s="23">
        <f>IF(21&lt;=horizonY, 'Monthly Detail'!M253, NA())</f>
        <v/>
      </c>
      <c r="H22" s="23">
        <f>IF(21&lt;=horizonY, 'Monthly Detail'!N253, NA())</f>
        <v/>
      </c>
      <c r="I22" s="23">
        <f>IF(21&lt;=horizonY, E22-D22, NA())</f>
        <v/>
      </c>
    </row>
    <row r="23">
      <c r="A23" s="24">
        <f>IF(22&lt;=horizonY, 22, "")</f>
        <v/>
      </c>
      <c r="B23" s="25">
        <f>IF(22&lt;=horizonY, 'Monthly Detail'!B265, NA())</f>
        <v/>
      </c>
      <c r="C23" s="25">
        <f>IF(22&lt;=horizonY, 'Monthly Detail'!I265, NA())</f>
        <v/>
      </c>
      <c r="D23" s="25">
        <f>IF(22&lt;=horizonY, B23-C23, NA())</f>
        <v/>
      </c>
      <c r="E23" s="25">
        <f>IF(22&lt;=horizonY, 'Monthly Detail'!K265, NA())</f>
        <v/>
      </c>
      <c r="F23" s="25">
        <f>IF(22&lt;=horizonY, 'Monthly Detail'!L265, NA())</f>
        <v/>
      </c>
      <c r="G23" s="25">
        <f>IF(22&lt;=horizonY, 'Monthly Detail'!M265, NA())</f>
        <v/>
      </c>
      <c r="H23" s="25">
        <f>IF(22&lt;=horizonY, 'Monthly Detail'!N265, NA())</f>
        <v/>
      </c>
      <c r="I23" s="25">
        <f>IF(22&lt;=horizonY, E23-D23, NA())</f>
        <v/>
      </c>
    </row>
    <row r="24">
      <c r="A24" s="22">
        <f>IF(23&lt;=horizonY, 23, "")</f>
        <v/>
      </c>
      <c r="B24" s="23">
        <f>IF(23&lt;=horizonY, 'Monthly Detail'!B277, NA())</f>
        <v/>
      </c>
      <c r="C24" s="23">
        <f>IF(23&lt;=horizonY, 'Monthly Detail'!I277, NA())</f>
        <v/>
      </c>
      <c r="D24" s="23">
        <f>IF(23&lt;=horizonY, B24-C24, NA())</f>
        <v/>
      </c>
      <c r="E24" s="23">
        <f>IF(23&lt;=horizonY, 'Monthly Detail'!K277, NA())</f>
        <v/>
      </c>
      <c r="F24" s="23">
        <f>IF(23&lt;=horizonY, 'Monthly Detail'!L277, NA())</f>
        <v/>
      </c>
      <c r="G24" s="23">
        <f>IF(23&lt;=horizonY, 'Monthly Detail'!M277, NA())</f>
        <v/>
      </c>
      <c r="H24" s="23">
        <f>IF(23&lt;=horizonY, 'Monthly Detail'!N277, NA())</f>
        <v/>
      </c>
      <c r="I24" s="23">
        <f>IF(23&lt;=horizonY, E24-D24, NA())</f>
        <v/>
      </c>
    </row>
    <row r="25">
      <c r="A25" s="24">
        <f>IF(24&lt;=horizonY, 24, "")</f>
        <v/>
      </c>
      <c r="B25" s="25">
        <f>IF(24&lt;=horizonY, 'Monthly Detail'!B289, NA())</f>
        <v/>
      </c>
      <c r="C25" s="25">
        <f>IF(24&lt;=horizonY, 'Monthly Detail'!I289, NA())</f>
        <v/>
      </c>
      <c r="D25" s="25">
        <f>IF(24&lt;=horizonY, B25-C25, NA())</f>
        <v/>
      </c>
      <c r="E25" s="25">
        <f>IF(24&lt;=horizonY, 'Monthly Detail'!K289, NA())</f>
        <v/>
      </c>
      <c r="F25" s="25">
        <f>IF(24&lt;=horizonY, 'Monthly Detail'!L289, NA())</f>
        <v/>
      </c>
      <c r="G25" s="25">
        <f>IF(24&lt;=horizonY, 'Monthly Detail'!M289, NA())</f>
        <v/>
      </c>
      <c r="H25" s="25">
        <f>IF(24&lt;=horizonY, 'Monthly Detail'!N289, NA())</f>
        <v/>
      </c>
      <c r="I25" s="25">
        <f>IF(24&lt;=horizonY, E25-D25, NA())</f>
        <v/>
      </c>
    </row>
    <row r="26">
      <c r="A26" s="22">
        <f>IF(25&lt;=horizonY, 25, "")</f>
        <v/>
      </c>
      <c r="B26" s="23">
        <f>IF(25&lt;=horizonY, 'Monthly Detail'!B301, NA())</f>
        <v/>
      </c>
      <c r="C26" s="23">
        <f>IF(25&lt;=horizonY, 'Monthly Detail'!I301, NA())</f>
        <v/>
      </c>
      <c r="D26" s="23">
        <f>IF(25&lt;=horizonY, B26-C26, NA())</f>
        <v/>
      </c>
      <c r="E26" s="23">
        <f>IF(25&lt;=horizonY, 'Monthly Detail'!K301, NA())</f>
        <v/>
      </c>
      <c r="F26" s="23">
        <f>IF(25&lt;=horizonY, 'Monthly Detail'!L301, NA())</f>
        <v/>
      </c>
      <c r="G26" s="23">
        <f>IF(25&lt;=horizonY, 'Monthly Detail'!M301, NA())</f>
        <v/>
      </c>
      <c r="H26" s="23">
        <f>IF(25&lt;=horizonY, 'Monthly Detail'!N301, NA())</f>
        <v/>
      </c>
      <c r="I26" s="23">
        <f>IF(25&lt;=horizonY, E26-D26, NA())</f>
        <v/>
      </c>
    </row>
    <row r="27">
      <c r="A27" s="24">
        <f>IF(26&lt;=horizonY, 26, "")</f>
        <v/>
      </c>
      <c r="B27" s="25">
        <f>IF(26&lt;=horizonY, 'Monthly Detail'!B313, NA())</f>
        <v/>
      </c>
      <c r="C27" s="25">
        <f>IF(26&lt;=horizonY, 'Monthly Detail'!I313, NA())</f>
        <v/>
      </c>
      <c r="D27" s="25">
        <f>IF(26&lt;=horizonY, B27-C27, NA())</f>
        <v/>
      </c>
      <c r="E27" s="25">
        <f>IF(26&lt;=horizonY, 'Monthly Detail'!K313, NA())</f>
        <v/>
      </c>
      <c r="F27" s="25">
        <f>IF(26&lt;=horizonY, 'Monthly Detail'!L313, NA())</f>
        <v/>
      </c>
      <c r="G27" s="25">
        <f>IF(26&lt;=horizonY, 'Monthly Detail'!M313, NA())</f>
        <v/>
      </c>
      <c r="H27" s="25">
        <f>IF(26&lt;=horizonY, 'Monthly Detail'!N313, NA())</f>
        <v/>
      </c>
      <c r="I27" s="25">
        <f>IF(26&lt;=horizonY, E27-D27, NA())</f>
        <v/>
      </c>
    </row>
    <row r="28">
      <c r="A28" s="22">
        <f>IF(27&lt;=horizonY, 27, "")</f>
        <v/>
      </c>
      <c r="B28" s="23">
        <f>IF(27&lt;=horizonY, 'Monthly Detail'!B325, NA())</f>
        <v/>
      </c>
      <c r="C28" s="23">
        <f>IF(27&lt;=horizonY, 'Monthly Detail'!I325, NA())</f>
        <v/>
      </c>
      <c r="D28" s="23">
        <f>IF(27&lt;=horizonY, B28-C28, NA())</f>
        <v/>
      </c>
      <c r="E28" s="23">
        <f>IF(27&lt;=horizonY, 'Monthly Detail'!K325, NA())</f>
        <v/>
      </c>
      <c r="F28" s="23">
        <f>IF(27&lt;=horizonY, 'Monthly Detail'!L325, NA())</f>
        <v/>
      </c>
      <c r="G28" s="23">
        <f>IF(27&lt;=horizonY, 'Monthly Detail'!M325, NA())</f>
        <v/>
      </c>
      <c r="H28" s="23">
        <f>IF(27&lt;=horizonY, 'Monthly Detail'!N325, NA())</f>
        <v/>
      </c>
      <c r="I28" s="23">
        <f>IF(27&lt;=horizonY, E28-D28, NA())</f>
        <v/>
      </c>
    </row>
    <row r="29">
      <c r="A29" s="24">
        <f>IF(28&lt;=horizonY, 28, "")</f>
        <v/>
      </c>
      <c r="B29" s="25">
        <f>IF(28&lt;=horizonY, 'Monthly Detail'!B337, NA())</f>
        <v/>
      </c>
      <c r="C29" s="25">
        <f>IF(28&lt;=horizonY, 'Monthly Detail'!I337, NA())</f>
        <v/>
      </c>
      <c r="D29" s="25">
        <f>IF(28&lt;=horizonY, B29-C29, NA())</f>
        <v/>
      </c>
      <c r="E29" s="25">
        <f>IF(28&lt;=horizonY, 'Monthly Detail'!K337, NA())</f>
        <v/>
      </c>
      <c r="F29" s="25">
        <f>IF(28&lt;=horizonY, 'Monthly Detail'!L337, NA())</f>
        <v/>
      </c>
      <c r="G29" s="25">
        <f>IF(28&lt;=horizonY, 'Monthly Detail'!M337, NA())</f>
        <v/>
      </c>
      <c r="H29" s="25">
        <f>IF(28&lt;=horizonY, 'Monthly Detail'!N337, NA())</f>
        <v/>
      </c>
      <c r="I29" s="25">
        <f>IF(28&lt;=horizonY, E29-D29, NA())</f>
        <v/>
      </c>
    </row>
    <row r="30">
      <c r="A30" s="22">
        <f>IF(29&lt;=horizonY, 29, "")</f>
        <v/>
      </c>
      <c r="B30" s="23">
        <f>IF(29&lt;=horizonY, 'Monthly Detail'!B349, NA())</f>
        <v/>
      </c>
      <c r="C30" s="23">
        <f>IF(29&lt;=horizonY, 'Monthly Detail'!I349, NA())</f>
        <v/>
      </c>
      <c r="D30" s="23">
        <f>IF(29&lt;=horizonY, B30-C30, NA())</f>
        <v/>
      </c>
      <c r="E30" s="23">
        <f>IF(29&lt;=horizonY, 'Monthly Detail'!K349, NA())</f>
        <v/>
      </c>
      <c r="F30" s="23">
        <f>IF(29&lt;=horizonY, 'Monthly Detail'!L349, NA())</f>
        <v/>
      </c>
      <c r="G30" s="23">
        <f>IF(29&lt;=horizonY, 'Monthly Detail'!M349, NA())</f>
        <v/>
      </c>
      <c r="H30" s="23">
        <f>IF(29&lt;=horizonY, 'Monthly Detail'!N349, NA())</f>
        <v/>
      </c>
      <c r="I30" s="23">
        <f>IF(29&lt;=horizonY, E30-D30, NA())</f>
        <v/>
      </c>
    </row>
    <row r="31">
      <c r="A31" s="24">
        <f>IF(30&lt;=horizonY, 30, "")</f>
        <v/>
      </c>
      <c r="B31" s="25">
        <f>IF(30&lt;=horizonY, 'Monthly Detail'!B361, NA())</f>
        <v/>
      </c>
      <c r="C31" s="25">
        <f>IF(30&lt;=horizonY, 'Monthly Detail'!I361, NA())</f>
        <v/>
      </c>
      <c r="D31" s="25">
        <f>IF(30&lt;=horizonY, B31-C31, NA())</f>
        <v/>
      </c>
      <c r="E31" s="25">
        <f>IF(30&lt;=horizonY, 'Monthly Detail'!K361, NA())</f>
        <v/>
      </c>
      <c r="F31" s="25">
        <f>IF(30&lt;=horizonY, 'Monthly Detail'!L361, NA())</f>
        <v/>
      </c>
      <c r="G31" s="25">
        <f>IF(30&lt;=horizonY, 'Monthly Detail'!M361, NA())</f>
        <v/>
      </c>
      <c r="H31" s="25">
        <f>IF(30&lt;=horizonY, 'Monthly Detail'!N361, NA())</f>
        <v/>
      </c>
      <c r="I31" s="25">
        <f>IF(30&lt;=horizonY, E31-D31, NA())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6" t="inlineStr">
        <is>
          <t>Home Loan vs Mutual Fund — Methodology</t>
        </is>
      </c>
    </row>
    <row r="2">
      <c r="A2" s="27" t="inlineStr"/>
    </row>
    <row r="3">
      <c r="A3" s="28" t="inlineStr">
        <is>
          <t>THE CORE INSIGHT</t>
        </is>
      </c>
    </row>
    <row r="4">
      <c r="A4" s="27" t="inlineStr">
        <is>
          <t>Real estate as an INVESTMENT vehicle vs Mutual Fund — apples-to-apples cashflow mirror.</t>
        </is>
      </c>
    </row>
    <row r="5">
      <c r="A5" s="27" t="inlineStr">
        <is>
          <t xml:space="preserve">  •  Down Payment    ⇄  Lumpsum (invested at MF return)</t>
        </is>
      </c>
    </row>
    <row r="6">
      <c r="A6" s="27" t="inlineStr">
        <is>
          <t xml:space="preserve">  •  EMI             ⇄  Monthly SIP</t>
        </is>
      </c>
    </row>
    <row r="7">
      <c r="A7" s="27" t="inlineStr">
        <is>
          <t xml:space="preserve">  •  Stamp Duty      ⇄  Also invested in MF (real-estate sunk cost vs MF gets to compound it)</t>
        </is>
      </c>
    </row>
    <row r="8">
      <c r="A8" s="27" t="inlineStr">
        <is>
          <t xml:space="preserve">  •  Net Rental      ⇄  Monthly SWP</t>
        </is>
      </c>
    </row>
    <row r="9">
      <c r="A9" s="27" t="inlineStr"/>
    </row>
    <row r="10">
      <c r="A10" s="28" t="inlineStr">
        <is>
          <t>HOUSE-SIDE MONTHLY MECHANICS</t>
        </is>
      </c>
    </row>
    <row r="11">
      <c r="A11" s="27" t="inlineStr">
        <is>
          <t xml:space="preserve">  •  House Value compounds at monthly_appn = (1+annual_appn)^(1/12) − 1</t>
        </is>
      </c>
    </row>
    <row r="12">
      <c r="A12" s="27" t="inlineStr">
        <is>
          <t xml:space="preserve">  •  EMI computed via standard PMT formula: rate, nper, present-value</t>
        </is>
      </c>
    </row>
    <row r="13">
      <c r="A13" s="27" t="inlineStr">
        <is>
          <t xml:space="preserve">  •  Loan amortisation: interest = balance × monthly_rate; principal = EMI − interest</t>
        </is>
      </c>
    </row>
    <row r="14">
      <c r="A14" s="27" t="inlineStr">
        <is>
          <t xml:space="preserve">  •  Rent received from "Rental Starts" year onwards; before that, only maint paid</t>
        </is>
      </c>
    </row>
    <row r="15">
      <c r="A15" s="27" t="inlineStr">
        <is>
          <t xml:space="preserve">  •  Vacancy/brokerage applied as flat % of gross rent each month</t>
        </is>
      </c>
    </row>
    <row r="16">
      <c r="A16" s="27" t="inlineStr">
        <is>
          <t xml:space="preserve">  •  Rent + maintenance inflate at the same rate (independent of property appreciation)</t>
        </is>
      </c>
    </row>
    <row r="17">
      <c r="A17" s="27" t="inlineStr"/>
    </row>
    <row r="18">
      <c r="A18" s="28" t="inlineStr">
        <is>
          <t>MF-SIDE MONTHLY MECHANICS</t>
        </is>
      </c>
    </row>
    <row r="19">
      <c r="A19" s="27" t="inlineStr">
        <is>
          <t xml:space="preserve">  •  Starts with Down Payment + Stamp Duty as lumpsum</t>
        </is>
      </c>
    </row>
    <row r="20">
      <c r="A20" s="27" t="inlineStr">
        <is>
          <t xml:space="preserve">  •  Each month: balance × (1 + monthly_mf_return)</t>
        </is>
      </c>
    </row>
    <row r="21">
      <c r="A21" s="27" t="inlineStr">
        <is>
          <t xml:space="preserve">  •  + EMI added as monthly SIP</t>
        </is>
      </c>
    </row>
    <row r="22">
      <c r="A22" s="27" t="inlineStr">
        <is>
          <t xml:space="preserve">  •  − Rent Net withdrawn as SWP (if rent positive)</t>
        </is>
      </c>
    </row>
    <row r="23">
      <c r="A23" s="27" t="inlineStr">
        <is>
          <t xml:space="preserve">  •  + extra SIP if rent net is negative (mirrors out-of-pocket cost)</t>
        </is>
      </c>
    </row>
    <row r="24">
      <c r="A24" s="27" t="inlineStr">
        <is>
          <t xml:space="preserve">  •  Simplified: MF_new = MF_prev × (1+mfMo) + EMI − RentNet</t>
        </is>
      </c>
    </row>
    <row r="25">
      <c r="A25" s="27" t="inlineStr"/>
    </row>
    <row r="26">
      <c r="A26" s="28" t="inlineStr">
        <is>
          <t>TAX TREATMENT AT HORIZON</t>
        </is>
      </c>
    </row>
    <row r="27">
      <c r="A27" s="27" t="inlineStr">
        <is>
          <t xml:space="preserve">  •  Both sides marked-to-market at horizon end</t>
        </is>
      </c>
    </row>
    <row r="28">
      <c r="A28" s="27" t="inlineStr">
        <is>
          <t xml:space="preserve">  •  House cost basis = Property Price + Stamp Duty</t>
        </is>
      </c>
    </row>
    <row r="29">
      <c r="A29" s="27" t="inlineStr">
        <is>
          <t xml:space="preserve">  •  MF cost basis    = Initial Invested + Cumulative SIPs − Cumulative SWPs</t>
        </is>
      </c>
    </row>
    <row r="30">
      <c r="A30" s="27" t="inlineStr">
        <is>
          <t xml:space="preserve">  •  LTCG (12.5% post-Jul 2024) applied to gains above ₹1.25L on EACH side</t>
        </is>
      </c>
    </row>
    <row r="31">
      <c r="A31" s="27" t="inlineStr">
        <is>
          <t xml:space="preserve">  •  Indexation removed (no longer available for property post-Jul 2024)</t>
        </is>
      </c>
    </row>
    <row r="32">
      <c r="A32" s="27" t="inlineStr"/>
    </row>
    <row r="33">
      <c r="A33" s="28" t="inlineStr">
        <is>
          <t>WHAT IS NOT MODELLED</t>
        </is>
      </c>
    </row>
    <row r="34">
      <c r="A34" s="27" t="inlineStr">
        <is>
          <t xml:space="preserve">  •  Personal income tax on rental income (Section 24 standard deduction + slab tax)</t>
        </is>
      </c>
    </row>
    <row r="35">
      <c r="A35" s="27" t="inlineStr">
        <is>
          <t xml:space="preserve">  •  Section 24(b) home loan interest deduction (only relevant for self-occupied; this is buy-to-let)</t>
        </is>
      </c>
    </row>
    <row r="36">
      <c r="A36" s="27" t="inlineStr">
        <is>
          <t xml:space="preserve">  •  Sec 54/54F/54EC reinvestment exemptions on property gain</t>
        </is>
      </c>
    </row>
    <row r="37">
      <c r="A37" s="27" t="inlineStr">
        <is>
          <t xml:space="preserve">  •  Society transfer charges, NOC, brokerage on resale</t>
        </is>
      </c>
    </row>
    <row r="38">
      <c r="A38" s="27" t="inlineStr">
        <is>
          <t xml:space="preserve">  •  Repairs/refurb cycles (assumed embedded in maintenance %)</t>
        </is>
      </c>
    </row>
    <row r="39">
      <c r="A39" s="27" t="inlineStr"/>
    </row>
    <row r="40">
      <c r="A40" s="28" t="inlineStr">
        <is>
          <t>USAGE NOTES</t>
        </is>
      </c>
    </row>
    <row r="41">
      <c r="A41" s="27" t="inlineStr">
        <is>
          <t xml:space="preserve">  •  Change any blue cell on the Inputs sheet — all sheets recalc instantly</t>
        </is>
      </c>
    </row>
    <row r="42">
      <c r="A42" s="27" t="inlineStr">
        <is>
          <t xml:space="preserve">  •  Horizon must be ≤ 30 years (monthly table has 360 rows)</t>
        </is>
      </c>
    </row>
    <row r="43">
      <c r="A43" s="27" t="inlineStr">
        <is>
          <t xml:space="preserve">  •  Annual Summary chart updates automatically with horizon changes (extra years show #N/A and are skipped)</t>
        </is>
      </c>
    </row>
    <row r="44">
      <c r="A44" s="27" t="inlineStr">
        <is>
          <t xml:space="preserve">  •  Original web calc: https://tools.glosomewealthx.in/home-loan-vs-mf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2026-05-29T08:06:03Z</dcterms:created>
  <dcterms:modified xmlns:dcterms="http://purl.org/dc/terms/" xmlns:xsi="http://www.w3.org/2001/XMLSchema-instance" xsi:type="dcterms:W3CDTF">2026-05-29T08:06:03Z</dcterms:modified>
</cp:coreProperties>
</file>