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lation Shield SIP" sheetId="1" state="visible" r:id="rId1"/>
  </sheets>
  <definedNames>
    <definedName name="monthlySIP">'Inflation Shield SIP'!$C$5</definedName>
    <definedName name="sipPeriod">'Inflation Shield SIP'!$C$6</definedName>
    <definedName name="annualRate">'Inflation Shield SIP'!$C$7</definedName>
    <definedName name="stepUp">'Inflation Shield SIP'!$C$8</definedName>
    <definedName name="lumpsum">'Inflation Shield SIP'!$C$9</definedName>
    <definedName name="monthlyWd">'Inflation Shield SIP'!$C$10</definedName>
    <definedName name="wdPeriod">'Inflation Shield SIP'!$C$11</definedName>
    <definedName name="inflation">'Inflation Shield SIP'!$C$12</definedName>
    <definedName name="monthlyRate">'Inflation Shield SIP'!$K$5</definedName>
    <definedName name="effRate">'Inflation Shield SIP'!$K$6</definedName>
    <definedName name="annInvY1">'Inflation Shield SIP'!$K$7</definedName>
    <definedName name="annWdY1">'Inflation Shield SIP'!$K$8</definedName>
    <definedName name="sipClBalCol">'Inflation Shield SIP'!$F$17:$F$66</definedName>
    <definedName name="wdYearsActive">'Inflation Shield SIP'!$F$70:$F$129</definedName>
    <definedName name="wdClosingCol">'Inflation Shield SIP'!$E$70:$E$129</definedName>
    <definedName name="wdAbsYearCol">'Inflation Shield SIP'!$A$70:$A$129</definedName>
    <definedName name="wdAnnualCol">'Inflation Shield SIP'!$C$70:$C$129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₹ &quot;#,##0;(&quot;₹ &quot;#,##0);-"/>
    <numFmt numFmtId="165" formatCode="#,##0;(#,##0);-"/>
    <numFmt numFmtId="166" formatCode="0.0%;(0.0%);-"/>
    <numFmt numFmtId="167" formatCode="0.00%;(0.00%);-"/>
    <numFmt numFmtId="168" formatCode="+0;-0;0"/>
  </numFmts>
  <fonts count="10">
    <font>
      <name val="Calibri"/>
      <family val="2"/>
      <color theme="1"/>
      <sz val="11"/>
      <scheme val="minor"/>
    </font>
    <font>
      <name val="Arial"/>
      <b val="1"/>
      <color rgb="00D4500A"/>
      <sz val="16"/>
    </font>
    <font>
      <name val="Arial"/>
      <b val="1"/>
      <color rgb="00666666"/>
      <sz val="11"/>
    </font>
    <font>
      <name val="Arial"/>
      <b val="1"/>
      <color rgb="00FFFFFF"/>
      <sz val="11"/>
    </font>
    <font>
      <name val="Arial"/>
      <color rgb="00000000"/>
    </font>
    <font>
      <name val="Arial"/>
      <b val="1"/>
      <color rgb="000000FF"/>
    </font>
    <font>
      <name val="Arial"/>
      <i val="1"/>
      <color rgb="00888888"/>
      <sz val="9"/>
    </font>
    <font>
      <name val="Arial"/>
      <b val="1"/>
      <color rgb="00FFFFFF"/>
      <sz val="12"/>
    </font>
    <font>
      <name val="Arial"/>
      <b val="1"/>
      <sz val="11"/>
    </font>
    <font>
      <name val="Arial"/>
      <color rgb="00666666"/>
      <sz val="9"/>
    </font>
  </fonts>
  <fills count="7">
    <fill>
      <patternFill/>
    </fill>
    <fill>
      <patternFill patternType="gray125"/>
    </fill>
    <fill>
      <patternFill patternType="solid">
        <fgColor rgb="00D4500A"/>
      </patternFill>
    </fill>
    <fill>
      <patternFill patternType="solid">
        <fgColor rgb="00FFF8E7"/>
      </patternFill>
    </fill>
    <fill>
      <patternFill patternType="solid">
        <fgColor rgb="008B3A1A"/>
      </patternFill>
    </fill>
    <fill>
      <patternFill patternType="solid">
        <fgColor rgb="00FDF5EB"/>
      </patternFill>
    </fill>
    <fill>
      <patternFill patternType="solid">
        <fgColor rgb="00FFE7C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pivotButton="0" quotePrefix="0" xfId="0"/>
    <xf numFmtId="164" fontId="5" fillId="3" borderId="0" applyAlignment="1" pivotButton="0" quotePrefix="0" xfId="0">
      <alignment horizontal="right" vertical="center"/>
    </xf>
    <xf numFmtId="0" fontId="6" fillId="0" borderId="0" pivotButton="0" quotePrefix="0" xfId="0"/>
    <xf numFmtId="167" fontId="4" fillId="0" borderId="0" applyAlignment="1" pivotButton="0" quotePrefix="0" xfId="0">
      <alignment horizontal="right" vertical="center"/>
    </xf>
    <xf numFmtId="0" fontId="8" fillId="6" borderId="0" applyAlignment="1" pivotButton="0" quotePrefix="0" xfId="0">
      <alignment horizontal="center" vertical="center"/>
    </xf>
    <xf numFmtId="165" fontId="5" fillId="3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5" fillId="3" borderId="0" applyAlignment="1" pivotButton="0" quotePrefix="0" xfId="0">
      <alignment horizontal="right" vertical="center"/>
    </xf>
    <xf numFmtId="164" fontId="4" fillId="0" borderId="0" applyAlignment="1" pivotButton="0" quotePrefix="0" xfId="0">
      <alignment horizontal="right" vertical="center"/>
    </xf>
    <xf numFmtId="168" fontId="4" fillId="0" borderId="0" applyAlignment="1" pivotButton="0" quotePrefix="0" xfId="0">
      <alignment horizontal="right" vertical="center"/>
    </xf>
    <xf numFmtId="0" fontId="7" fillId="4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4" fontId="0" fillId="0" borderId="0" pivotButton="0" quotePrefix="0" xfId="0"/>
    <xf numFmtId="0" fontId="0" fillId="5" borderId="0" applyAlignment="1" pivotButton="0" quotePrefix="0" xfId="0">
      <alignment horizontal="center" vertical="center"/>
    </xf>
    <xf numFmtId="164" fontId="0" fillId="5" borderId="0" pivotButton="0" quotePrefix="0" xfId="0"/>
    <xf numFmtId="0" fontId="9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Withdrawal Phase — Corpus Closing Balance</a:t>
            </a:r>
          </a:p>
        </rich>
      </tx>
    </title>
    <plotArea>
      <lineChart>
        <grouping val="standard"/>
        <ser>
          <idx val="0"/>
          <order val="0"/>
          <tx>
            <strRef>
              <f>'Inflation Shield SIP'!E69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'Inflation Shield SIP'!$A$70:$A$129</f>
            </numRef>
          </cat>
          <val>
            <numRef>
              <f>'Inflation Shield SIP'!$E$70:$E$129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 (absolute)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Closing Balance (₹)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131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32" customWidth="1" min="4" max="4"/>
    <col width="20" customWidth="1" min="5" max="5"/>
    <col width="20" customWidth="1" min="6" max="6"/>
    <col width="14" customWidth="1" min="7" max="7"/>
    <col width="4" customWidth="1" min="9" max="9"/>
    <col width="28" customWidth="1" min="10" max="10"/>
    <col width="18" customWidth="1" min="11" max="11"/>
    <col width="4" customWidth="1" min="12" max="12"/>
    <col width="28" customWidth="1" min="13" max="13"/>
    <col width="18" customWidth="1" min="14" max="14"/>
  </cols>
  <sheetData>
    <row r="1">
      <c r="A1" s="1" t="inlineStr">
        <is>
          <t>Inflation Shield SIP — Decision Workbook</t>
        </is>
      </c>
    </row>
    <row r="2">
      <c r="A2" s="2" t="inlineStr">
        <is>
          <t>Build a corpus via SIP, then drawdown an inflation-protected monthly income for as long as it lasts.</t>
        </is>
      </c>
    </row>
    <row r="4">
      <c r="A4" s="3" t="inlineStr">
        <is>
          <t>INPUTS  (blue cells = editable)</t>
        </is>
      </c>
      <c r="J4" s="3" t="inlineStr">
        <is>
          <t>DERIVED CONSTANTS</t>
        </is>
      </c>
      <c r="M4" s="3" t="inlineStr">
        <is>
          <t>OUTPUTS &amp; VERDICT</t>
        </is>
      </c>
    </row>
    <row r="5">
      <c r="B5" s="4" t="inlineStr">
        <is>
          <t>Monthly SIP (₹)</t>
        </is>
      </c>
      <c r="C5" s="5" t="n">
        <v>50000</v>
      </c>
      <c r="D5" s="6" t="inlineStr">
        <is>
          <t>Monthly investment during accumulation</t>
        </is>
      </c>
      <c r="J5" s="4" t="inlineStr">
        <is>
          <t>Monthly Rate</t>
        </is>
      </c>
      <c r="K5" s="7">
        <f>annualRate/12</f>
        <v/>
      </c>
      <c r="M5" s="4" t="inlineStr">
        <is>
          <t>Plan sustains target WD period?</t>
        </is>
      </c>
      <c r="N5" s="8">
        <f>IF(SUM(wdYearsActive)&gt;=wdPeriod, "✓ YES — full coverage", "✗ NO — runs out early")</f>
        <v/>
      </c>
    </row>
    <row r="6">
      <c r="B6" s="4" t="inlineStr">
        <is>
          <t>SIP Period (Years)</t>
        </is>
      </c>
      <c r="C6" s="9" t="n">
        <v>10</v>
      </c>
      <c r="D6" s="6" t="inlineStr">
        <is>
          <t>Length of the SIP phase</t>
        </is>
      </c>
      <c r="J6" s="4" t="inlineStr">
        <is>
          <t>Effective Annual Rate</t>
        </is>
      </c>
      <c r="K6" s="7">
        <f>(1+annualRate/12)^12-1</f>
        <v/>
      </c>
      <c r="M6" s="4" t="inlineStr">
        <is>
          <t>Years corpus sustained</t>
        </is>
      </c>
      <c r="N6" s="10">
        <f>SUM(wdYearsActive)</f>
        <v/>
      </c>
    </row>
    <row r="7">
      <c r="B7" s="4" t="inlineStr">
        <is>
          <t>Annual Interest Rate (%)</t>
        </is>
      </c>
      <c r="C7" s="11" t="n">
        <v>0.12</v>
      </c>
      <c r="D7" s="6" t="inlineStr">
        <is>
          <t>Used for both SIP growth and withdrawal phase</t>
        </is>
      </c>
      <c r="J7" s="4" t="inlineStr">
        <is>
          <t>Annual Investment (Yr 1)</t>
        </is>
      </c>
      <c r="K7" s="12">
        <f>monthlySIP*12</f>
        <v/>
      </c>
      <c r="M7" s="4" t="inlineStr">
        <is>
          <t>Surplus / shortfall (years)</t>
        </is>
      </c>
      <c r="N7" s="13">
        <f>SUM(wdYearsActive)-wdPeriod</f>
        <v/>
      </c>
    </row>
    <row r="8">
      <c r="B8" s="4" t="inlineStr">
        <is>
          <t>Annual SIP Step-up (%)</t>
        </is>
      </c>
      <c r="C8" s="11" t="n">
        <v>0</v>
      </c>
      <c r="D8" s="6" t="inlineStr">
        <is>
          <t>Each year SIP grows by this %</t>
        </is>
      </c>
      <c r="J8" s="4" t="inlineStr">
        <is>
          <t>Annual Withdrawal (Yr 1)</t>
        </is>
      </c>
      <c r="K8" s="12">
        <f>monthlyWd*12</f>
        <v/>
      </c>
      <c r="M8" s="4" t="inlineStr">
        <is>
          <t>SIP Corpus at retirement</t>
        </is>
      </c>
      <c r="N8" s="12">
        <f>INDEX(sipClBalCol, sipPeriod)</f>
        <v/>
      </c>
    </row>
    <row r="9">
      <c r="B9" s="4" t="inlineStr">
        <is>
          <t>Initial Lumpsum (₹)</t>
        </is>
      </c>
      <c r="C9" s="5" t="n">
        <v>0</v>
      </c>
      <c r="D9" s="6" t="inlineStr">
        <is>
          <t>Starting corpus before SIP begins</t>
        </is>
      </c>
      <c r="M9" s="4" t="inlineStr">
        <is>
          <t>Total invested over SIP phase</t>
        </is>
      </c>
      <c r="N9" s="12">
        <f>SUMIF($A$17:$A$66, "&lt;&gt;", $C$17:$C$66)+lumpsum</f>
        <v/>
      </c>
    </row>
    <row r="10">
      <c r="B10" s="4" t="inlineStr">
        <is>
          <t>Monthly Withdrawal (₹)</t>
        </is>
      </c>
      <c r="C10" s="5" t="n">
        <v>50000</v>
      </c>
      <c r="D10" s="6" t="inlineStr">
        <is>
          <t>Starting monthly withdrawal — grows with inflation</t>
        </is>
      </c>
      <c r="M10" s="4" t="inlineStr">
        <is>
          <t>Total withdrawn over WD phase</t>
        </is>
      </c>
      <c r="N10" s="12">
        <f>SUM(wdAnnualCol)</f>
        <v/>
      </c>
    </row>
    <row r="11">
      <c r="B11" s="4" t="inlineStr">
        <is>
          <t>Withdrawal Period (Years)</t>
        </is>
      </c>
      <c r="C11" s="9" t="n">
        <v>40</v>
      </c>
      <c r="D11" s="6" t="inlineStr">
        <is>
          <t>Target number of years to draw income</t>
        </is>
      </c>
      <c r="M11" s="4" t="inlineStr">
        <is>
          <t>Final closing balance</t>
        </is>
      </c>
      <c r="N11" s="12">
        <f>IFERROR(INDEX(wdClosingCol, SUM(wdYearsActive)), 0)</f>
        <v/>
      </c>
    </row>
    <row r="12">
      <c r="B12" s="4" t="inlineStr">
        <is>
          <t>Inflation Rate (%)</t>
        </is>
      </c>
      <c r="C12" s="11" t="n">
        <v>0.07000000000000001</v>
      </c>
      <c r="D12" s="6" t="inlineStr">
        <is>
          <t>Annual escalation applied to withdrawals</t>
        </is>
      </c>
      <c r="M12" s="4" t="inlineStr">
        <is>
          <t>Last-year monthly draw (nominal)</t>
        </is>
      </c>
      <c r="N12" s="12">
        <f>IFERROR(INDEX(wdAnnualCol, SUM(wdYearsActive))/12, 0)</f>
        <v/>
      </c>
    </row>
    <row r="13">
      <c r="M13" s="4" t="inlineStr">
        <is>
          <t>Last-year draw in today's rupees</t>
        </is>
      </c>
      <c r="N13" s="12">
        <f>IFERROR(INDEX(wdAnnualCol, SUM(wdYearsActive))/12/((1+inflation)^(SUM(wdYearsActive)-1)), 0)</f>
        <v/>
      </c>
    </row>
    <row r="15">
      <c r="A15" s="14" t="inlineStr">
        <is>
          <t>SIP INVESTMENT PHASE</t>
        </is>
      </c>
    </row>
    <row r="16" ht="28" customHeight="1">
      <c r="A16" s="15" t="inlineStr">
        <is>
          <t>Year</t>
        </is>
      </c>
      <c r="B16" s="15" t="inlineStr">
        <is>
          <t>Opening Balance</t>
        </is>
      </c>
      <c r="C16" s="15" t="inlineStr">
        <is>
          <t>Annual Investment</t>
        </is>
      </c>
      <c r="D16" s="15" t="inlineStr">
        <is>
          <t>Year-End FV</t>
        </is>
      </c>
      <c r="E16" s="15" t="inlineStr">
        <is>
          <t>Interest Earned</t>
        </is>
      </c>
      <c r="F16" s="15" t="inlineStr">
        <is>
          <t>Closing Balance</t>
        </is>
      </c>
    </row>
    <row r="17">
      <c r="A17" s="16">
        <f>IF(1&lt;=sipPeriod, 1, "")</f>
        <v/>
      </c>
      <c r="B17" s="17">
        <f>IF(1&lt;=sipPeriod, lumpsum, "")</f>
        <v/>
      </c>
      <c r="C17" s="17">
        <f>IF(1&lt;=sipPeriod, monthlySIP*12*(1+stepUp)^(1-1), "")</f>
        <v/>
      </c>
      <c r="D17" s="17">
        <f>IF(1&lt;=sipPeriod, -FV(monthlyRate, 12, C17/12), "")</f>
        <v/>
      </c>
      <c r="E17" s="17">
        <f>IF(1&lt;=sipPeriod, D17-C17+B17*effRate, "")</f>
        <v/>
      </c>
      <c r="F17" s="17">
        <f>IF(1&lt;=sipPeriod, B17+C17+E17, "")</f>
        <v/>
      </c>
    </row>
    <row r="18">
      <c r="A18" s="18">
        <f>IF(2&lt;=sipPeriod, 2, "")</f>
        <v/>
      </c>
      <c r="B18" s="19">
        <f>IF(2&lt;=sipPeriod, F17, "")</f>
        <v/>
      </c>
      <c r="C18" s="19">
        <f>IF(2&lt;=sipPeriod, monthlySIP*12*(1+stepUp)^(2-1), "")</f>
        <v/>
      </c>
      <c r="D18" s="19">
        <f>IF(2&lt;=sipPeriod, -FV(monthlyRate, 12, C18/12), "")</f>
        <v/>
      </c>
      <c r="E18" s="19">
        <f>IF(2&lt;=sipPeriod, D18-C18+B18*effRate, "")</f>
        <v/>
      </c>
      <c r="F18" s="19">
        <f>IF(2&lt;=sipPeriod, B18+C18+E18, "")</f>
        <v/>
      </c>
    </row>
    <row r="19">
      <c r="A19" s="16">
        <f>IF(3&lt;=sipPeriod, 3, "")</f>
        <v/>
      </c>
      <c r="B19" s="17">
        <f>IF(3&lt;=sipPeriod, F18, "")</f>
        <v/>
      </c>
      <c r="C19" s="17">
        <f>IF(3&lt;=sipPeriod, monthlySIP*12*(1+stepUp)^(3-1), "")</f>
        <v/>
      </c>
      <c r="D19" s="17">
        <f>IF(3&lt;=sipPeriod, -FV(monthlyRate, 12, C19/12), "")</f>
        <v/>
      </c>
      <c r="E19" s="17">
        <f>IF(3&lt;=sipPeriod, D19-C19+B19*effRate, "")</f>
        <v/>
      </c>
      <c r="F19" s="17">
        <f>IF(3&lt;=sipPeriod, B19+C19+E19, "")</f>
        <v/>
      </c>
    </row>
    <row r="20">
      <c r="A20" s="18">
        <f>IF(4&lt;=sipPeriod, 4, "")</f>
        <v/>
      </c>
      <c r="B20" s="19">
        <f>IF(4&lt;=sipPeriod, F19, "")</f>
        <v/>
      </c>
      <c r="C20" s="19">
        <f>IF(4&lt;=sipPeriod, monthlySIP*12*(1+stepUp)^(4-1), "")</f>
        <v/>
      </c>
      <c r="D20" s="19">
        <f>IF(4&lt;=sipPeriod, -FV(monthlyRate, 12, C20/12), "")</f>
        <v/>
      </c>
      <c r="E20" s="19">
        <f>IF(4&lt;=sipPeriod, D20-C20+B20*effRate, "")</f>
        <v/>
      </c>
      <c r="F20" s="19">
        <f>IF(4&lt;=sipPeriod, B20+C20+E20, "")</f>
        <v/>
      </c>
    </row>
    <row r="21">
      <c r="A21" s="16">
        <f>IF(5&lt;=sipPeriod, 5, "")</f>
        <v/>
      </c>
      <c r="B21" s="17">
        <f>IF(5&lt;=sipPeriod, F20, "")</f>
        <v/>
      </c>
      <c r="C21" s="17">
        <f>IF(5&lt;=sipPeriod, monthlySIP*12*(1+stepUp)^(5-1), "")</f>
        <v/>
      </c>
      <c r="D21" s="17">
        <f>IF(5&lt;=sipPeriod, -FV(monthlyRate, 12, C21/12), "")</f>
        <v/>
      </c>
      <c r="E21" s="17">
        <f>IF(5&lt;=sipPeriod, D21-C21+B21*effRate, "")</f>
        <v/>
      </c>
      <c r="F21" s="17">
        <f>IF(5&lt;=sipPeriod, B21+C21+E21, "")</f>
        <v/>
      </c>
    </row>
    <row r="22">
      <c r="A22" s="18">
        <f>IF(6&lt;=sipPeriod, 6, "")</f>
        <v/>
      </c>
      <c r="B22" s="19">
        <f>IF(6&lt;=sipPeriod, F21, "")</f>
        <v/>
      </c>
      <c r="C22" s="19">
        <f>IF(6&lt;=sipPeriod, monthlySIP*12*(1+stepUp)^(6-1), "")</f>
        <v/>
      </c>
      <c r="D22" s="19">
        <f>IF(6&lt;=sipPeriod, -FV(monthlyRate, 12, C22/12), "")</f>
        <v/>
      </c>
      <c r="E22" s="19">
        <f>IF(6&lt;=sipPeriod, D22-C22+B22*effRate, "")</f>
        <v/>
      </c>
      <c r="F22" s="19">
        <f>IF(6&lt;=sipPeriod, B22+C22+E22, "")</f>
        <v/>
      </c>
    </row>
    <row r="23">
      <c r="A23" s="16">
        <f>IF(7&lt;=sipPeriod, 7, "")</f>
        <v/>
      </c>
      <c r="B23" s="17">
        <f>IF(7&lt;=sipPeriod, F22, "")</f>
        <v/>
      </c>
      <c r="C23" s="17">
        <f>IF(7&lt;=sipPeriod, monthlySIP*12*(1+stepUp)^(7-1), "")</f>
        <v/>
      </c>
      <c r="D23" s="17">
        <f>IF(7&lt;=sipPeriod, -FV(monthlyRate, 12, C23/12), "")</f>
        <v/>
      </c>
      <c r="E23" s="17">
        <f>IF(7&lt;=sipPeriod, D23-C23+B23*effRate, "")</f>
        <v/>
      </c>
      <c r="F23" s="17">
        <f>IF(7&lt;=sipPeriod, B23+C23+E23, "")</f>
        <v/>
      </c>
    </row>
    <row r="24">
      <c r="A24" s="18">
        <f>IF(8&lt;=sipPeriod, 8, "")</f>
        <v/>
      </c>
      <c r="B24" s="19">
        <f>IF(8&lt;=sipPeriod, F23, "")</f>
        <v/>
      </c>
      <c r="C24" s="19">
        <f>IF(8&lt;=sipPeriod, monthlySIP*12*(1+stepUp)^(8-1), "")</f>
        <v/>
      </c>
      <c r="D24" s="19">
        <f>IF(8&lt;=sipPeriod, -FV(monthlyRate, 12, C24/12), "")</f>
        <v/>
      </c>
      <c r="E24" s="19">
        <f>IF(8&lt;=sipPeriod, D24-C24+B24*effRate, "")</f>
        <v/>
      </c>
      <c r="F24" s="19">
        <f>IF(8&lt;=sipPeriod, B24+C24+E24, "")</f>
        <v/>
      </c>
    </row>
    <row r="25">
      <c r="A25" s="16">
        <f>IF(9&lt;=sipPeriod, 9, "")</f>
        <v/>
      </c>
      <c r="B25" s="17">
        <f>IF(9&lt;=sipPeriod, F24, "")</f>
        <v/>
      </c>
      <c r="C25" s="17">
        <f>IF(9&lt;=sipPeriod, monthlySIP*12*(1+stepUp)^(9-1), "")</f>
        <v/>
      </c>
      <c r="D25" s="17">
        <f>IF(9&lt;=sipPeriod, -FV(monthlyRate, 12, C25/12), "")</f>
        <v/>
      </c>
      <c r="E25" s="17">
        <f>IF(9&lt;=sipPeriod, D25-C25+B25*effRate, "")</f>
        <v/>
      </c>
      <c r="F25" s="17">
        <f>IF(9&lt;=sipPeriod, B25+C25+E25, "")</f>
        <v/>
      </c>
    </row>
    <row r="26">
      <c r="A26" s="18">
        <f>IF(10&lt;=sipPeriod, 10, "")</f>
        <v/>
      </c>
      <c r="B26" s="19">
        <f>IF(10&lt;=sipPeriod, F25, "")</f>
        <v/>
      </c>
      <c r="C26" s="19">
        <f>IF(10&lt;=sipPeriod, monthlySIP*12*(1+stepUp)^(10-1), "")</f>
        <v/>
      </c>
      <c r="D26" s="19">
        <f>IF(10&lt;=sipPeriod, -FV(monthlyRate, 12, C26/12), "")</f>
        <v/>
      </c>
      <c r="E26" s="19">
        <f>IF(10&lt;=sipPeriod, D26-C26+B26*effRate, "")</f>
        <v/>
      </c>
      <c r="F26" s="19">
        <f>IF(10&lt;=sipPeriod, B26+C26+E26, "")</f>
        <v/>
      </c>
    </row>
    <row r="27">
      <c r="A27" s="16">
        <f>IF(11&lt;=sipPeriod, 11, "")</f>
        <v/>
      </c>
      <c r="B27" s="17">
        <f>IF(11&lt;=sipPeriod, F26, "")</f>
        <v/>
      </c>
      <c r="C27" s="17">
        <f>IF(11&lt;=sipPeriod, monthlySIP*12*(1+stepUp)^(11-1), "")</f>
        <v/>
      </c>
      <c r="D27" s="17">
        <f>IF(11&lt;=sipPeriod, -FV(monthlyRate, 12, C27/12), "")</f>
        <v/>
      </c>
      <c r="E27" s="17">
        <f>IF(11&lt;=sipPeriod, D27-C27+B27*effRate, "")</f>
        <v/>
      </c>
      <c r="F27" s="17">
        <f>IF(11&lt;=sipPeriod, B27+C27+E27, "")</f>
        <v/>
      </c>
    </row>
    <row r="28">
      <c r="A28" s="18">
        <f>IF(12&lt;=sipPeriod, 12, "")</f>
        <v/>
      </c>
      <c r="B28" s="19">
        <f>IF(12&lt;=sipPeriod, F27, "")</f>
        <v/>
      </c>
      <c r="C28" s="19">
        <f>IF(12&lt;=sipPeriod, monthlySIP*12*(1+stepUp)^(12-1), "")</f>
        <v/>
      </c>
      <c r="D28" s="19">
        <f>IF(12&lt;=sipPeriod, -FV(monthlyRate, 12, C28/12), "")</f>
        <v/>
      </c>
      <c r="E28" s="19">
        <f>IF(12&lt;=sipPeriod, D28-C28+B28*effRate, "")</f>
        <v/>
      </c>
      <c r="F28" s="19">
        <f>IF(12&lt;=sipPeriod, B28+C28+E28, "")</f>
        <v/>
      </c>
    </row>
    <row r="29">
      <c r="A29" s="16">
        <f>IF(13&lt;=sipPeriod, 13, "")</f>
        <v/>
      </c>
      <c r="B29" s="17">
        <f>IF(13&lt;=sipPeriod, F28, "")</f>
        <v/>
      </c>
      <c r="C29" s="17">
        <f>IF(13&lt;=sipPeriod, monthlySIP*12*(1+stepUp)^(13-1), "")</f>
        <v/>
      </c>
      <c r="D29" s="17">
        <f>IF(13&lt;=sipPeriod, -FV(monthlyRate, 12, C29/12), "")</f>
        <v/>
      </c>
      <c r="E29" s="17">
        <f>IF(13&lt;=sipPeriod, D29-C29+B29*effRate, "")</f>
        <v/>
      </c>
      <c r="F29" s="17">
        <f>IF(13&lt;=sipPeriod, B29+C29+E29, "")</f>
        <v/>
      </c>
    </row>
    <row r="30">
      <c r="A30" s="18">
        <f>IF(14&lt;=sipPeriod, 14, "")</f>
        <v/>
      </c>
      <c r="B30" s="19">
        <f>IF(14&lt;=sipPeriod, F29, "")</f>
        <v/>
      </c>
      <c r="C30" s="19">
        <f>IF(14&lt;=sipPeriod, monthlySIP*12*(1+stepUp)^(14-1), "")</f>
        <v/>
      </c>
      <c r="D30" s="19">
        <f>IF(14&lt;=sipPeriod, -FV(monthlyRate, 12, C30/12), "")</f>
        <v/>
      </c>
      <c r="E30" s="19">
        <f>IF(14&lt;=sipPeriod, D30-C30+B30*effRate, "")</f>
        <v/>
      </c>
      <c r="F30" s="19">
        <f>IF(14&lt;=sipPeriod, B30+C30+E30, "")</f>
        <v/>
      </c>
    </row>
    <row r="31">
      <c r="A31" s="16">
        <f>IF(15&lt;=sipPeriod, 15, "")</f>
        <v/>
      </c>
      <c r="B31" s="17">
        <f>IF(15&lt;=sipPeriod, F30, "")</f>
        <v/>
      </c>
      <c r="C31" s="17">
        <f>IF(15&lt;=sipPeriod, monthlySIP*12*(1+stepUp)^(15-1), "")</f>
        <v/>
      </c>
      <c r="D31" s="17">
        <f>IF(15&lt;=sipPeriod, -FV(monthlyRate, 12, C31/12), "")</f>
        <v/>
      </c>
      <c r="E31" s="17">
        <f>IF(15&lt;=sipPeriod, D31-C31+B31*effRate, "")</f>
        <v/>
      </c>
      <c r="F31" s="17">
        <f>IF(15&lt;=sipPeriod, B31+C31+E31, "")</f>
        <v/>
      </c>
    </row>
    <row r="32">
      <c r="A32" s="18">
        <f>IF(16&lt;=sipPeriod, 16, "")</f>
        <v/>
      </c>
      <c r="B32" s="19">
        <f>IF(16&lt;=sipPeriod, F31, "")</f>
        <v/>
      </c>
      <c r="C32" s="19">
        <f>IF(16&lt;=sipPeriod, monthlySIP*12*(1+stepUp)^(16-1), "")</f>
        <v/>
      </c>
      <c r="D32" s="19">
        <f>IF(16&lt;=sipPeriod, -FV(monthlyRate, 12, C32/12), "")</f>
        <v/>
      </c>
      <c r="E32" s="19">
        <f>IF(16&lt;=sipPeriod, D32-C32+B32*effRate, "")</f>
        <v/>
      </c>
      <c r="F32" s="19">
        <f>IF(16&lt;=sipPeriod, B32+C32+E32, "")</f>
        <v/>
      </c>
    </row>
    <row r="33">
      <c r="A33" s="16">
        <f>IF(17&lt;=sipPeriod, 17, "")</f>
        <v/>
      </c>
      <c r="B33" s="17">
        <f>IF(17&lt;=sipPeriod, F32, "")</f>
        <v/>
      </c>
      <c r="C33" s="17">
        <f>IF(17&lt;=sipPeriod, monthlySIP*12*(1+stepUp)^(17-1), "")</f>
        <v/>
      </c>
      <c r="D33" s="17">
        <f>IF(17&lt;=sipPeriod, -FV(monthlyRate, 12, C33/12), "")</f>
        <v/>
      </c>
      <c r="E33" s="17">
        <f>IF(17&lt;=sipPeriod, D33-C33+B33*effRate, "")</f>
        <v/>
      </c>
      <c r="F33" s="17">
        <f>IF(17&lt;=sipPeriod, B33+C33+E33, "")</f>
        <v/>
      </c>
    </row>
    <row r="34">
      <c r="A34" s="18">
        <f>IF(18&lt;=sipPeriod, 18, "")</f>
        <v/>
      </c>
      <c r="B34" s="19">
        <f>IF(18&lt;=sipPeriod, F33, "")</f>
        <v/>
      </c>
      <c r="C34" s="19">
        <f>IF(18&lt;=sipPeriod, monthlySIP*12*(1+stepUp)^(18-1), "")</f>
        <v/>
      </c>
      <c r="D34" s="19">
        <f>IF(18&lt;=sipPeriod, -FV(monthlyRate, 12, C34/12), "")</f>
        <v/>
      </c>
      <c r="E34" s="19">
        <f>IF(18&lt;=sipPeriod, D34-C34+B34*effRate, "")</f>
        <v/>
      </c>
      <c r="F34" s="19">
        <f>IF(18&lt;=sipPeriod, B34+C34+E34, "")</f>
        <v/>
      </c>
    </row>
    <row r="35">
      <c r="A35" s="16">
        <f>IF(19&lt;=sipPeriod, 19, "")</f>
        <v/>
      </c>
      <c r="B35" s="17">
        <f>IF(19&lt;=sipPeriod, F34, "")</f>
        <v/>
      </c>
      <c r="C35" s="17">
        <f>IF(19&lt;=sipPeriod, monthlySIP*12*(1+stepUp)^(19-1), "")</f>
        <v/>
      </c>
      <c r="D35" s="17">
        <f>IF(19&lt;=sipPeriod, -FV(monthlyRate, 12, C35/12), "")</f>
        <v/>
      </c>
      <c r="E35" s="17">
        <f>IF(19&lt;=sipPeriod, D35-C35+B35*effRate, "")</f>
        <v/>
      </c>
      <c r="F35" s="17">
        <f>IF(19&lt;=sipPeriod, B35+C35+E35, "")</f>
        <v/>
      </c>
    </row>
    <row r="36">
      <c r="A36" s="18">
        <f>IF(20&lt;=sipPeriod, 20, "")</f>
        <v/>
      </c>
      <c r="B36" s="19">
        <f>IF(20&lt;=sipPeriod, F35, "")</f>
        <v/>
      </c>
      <c r="C36" s="19">
        <f>IF(20&lt;=sipPeriod, monthlySIP*12*(1+stepUp)^(20-1), "")</f>
        <v/>
      </c>
      <c r="D36" s="19">
        <f>IF(20&lt;=sipPeriod, -FV(monthlyRate, 12, C36/12), "")</f>
        <v/>
      </c>
      <c r="E36" s="19">
        <f>IF(20&lt;=sipPeriod, D36-C36+B36*effRate, "")</f>
        <v/>
      </c>
      <c r="F36" s="19">
        <f>IF(20&lt;=sipPeriod, B36+C36+E36, "")</f>
        <v/>
      </c>
    </row>
    <row r="37">
      <c r="A37" s="16">
        <f>IF(21&lt;=sipPeriod, 21, "")</f>
        <v/>
      </c>
      <c r="B37" s="17">
        <f>IF(21&lt;=sipPeriod, F36, "")</f>
        <v/>
      </c>
      <c r="C37" s="17">
        <f>IF(21&lt;=sipPeriod, monthlySIP*12*(1+stepUp)^(21-1), "")</f>
        <v/>
      </c>
      <c r="D37" s="17">
        <f>IF(21&lt;=sipPeriod, -FV(monthlyRate, 12, C37/12), "")</f>
        <v/>
      </c>
      <c r="E37" s="17">
        <f>IF(21&lt;=sipPeriod, D37-C37+B37*effRate, "")</f>
        <v/>
      </c>
      <c r="F37" s="17">
        <f>IF(21&lt;=sipPeriod, B37+C37+E37, "")</f>
        <v/>
      </c>
    </row>
    <row r="38">
      <c r="A38" s="18">
        <f>IF(22&lt;=sipPeriod, 22, "")</f>
        <v/>
      </c>
      <c r="B38" s="19">
        <f>IF(22&lt;=sipPeriod, F37, "")</f>
        <v/>
      </c>
      <c r="C38" s="19">
        <f>IF(22&lt;=sipPeriod, monthlySIP*12*(1+stepUp)^(22-1), "")</f>
        <v/>
      </c>
      <c r="D38" s="19">
        <f>IF(22&lt;=sipPeriod, -FV(monthlyRate, 12, C38/12), "")</f>
        <v/>
      </c>
      <c r="E38" s="19">
        <f>IF(22&lt;=sipPeriod, D38-C38+B38*effRate, "")</f>
        <v/>
      </c>
      <c r="F38" s="19">
        <f>IF(22&lt;=sipPeriod, B38+C38+E38, "")</f>
        <v/>
      </c>
    </row>
    <row r="39">
      <c r="A39" s="16">
        <f>IF(23&lt;=sipPeriod, 23, "")</f>
        <v/>
      </c>
      <c r="B39" s="17">
        <f>IF(23&lt;=sipPeriod, F38, "")</f>
        <v/>
      </c>
      <c r="C39" s="17">
        <f>IF(23&lt;=sipPeriod, monthlySIP*12*(1+stepUp)^(23-1), "")</f>
        <v/>
      </c>
      <c r="D39" s="17">
        <f>IF(23&lt;=sipPeriod, -FV(monthlyRate, 12, C39/12), "")</f>
        <v/>
      </c>
      <c r="E39" s="17">
        <f>IF(23&lt;=sipPeriod, D39-C39+B39*effRate, "")</f>
        <v/>
      </c>
      <c r="F39" s="17">
        <f>IF(23&lt;=sipPeriod, B39+C39+E39, "")</f>
        <v/>
      </c>
    </row>
    <row r="40">
      <c r="A40" s="18">
        <f>IF(24&lt;=sipPeriod, 24, "")</f>
        <v/>
      </c>
      <c r="B40" s="19">
        <f>IF(24&lt;=sipPeriod, F39, "")</f>
        <v/>
      </c>
      <c r="C40" s="19">
        <f>IF(24&lt;=sipPeriod, monthlySIP*12*(1+stepUp)^(24-1), "")</f>
        <v/>
      </c>
      <c r="D40" s="19">
        <f>IF(24&lt;=sipPeriod, -FV(monthlyRate, 12, C40/12), "")</f>
        <v/>
      </c>
      <c r="E40" s="19">
        <f>IF(24&lt;=sipPeriod, D40-C40+B40*effRate, "")</f>
        <v/>
      </c>
      <c r="F40" s="19">
        <f>IF(24&lt;=sipPeriod, B40+C40+E40, "")</f>
        <v/>
      </c>
    </row>
    <row r="41">
      <c r="A41" s="16">
        <f>IF(25&lt;=sipPeriod, 25, "")</f>
        <v/>
      </c>
      <c r="B41" s="17">
        <f>IF(25&lt;=sipPeriod, F40, "")</f>
        <v/>
      </c>
      <c r="C41" s="17">
        <f>IF(25&lt;=sipPeriod, monthlySIP*12*(1+stepUp)^(25-1), "")</f>
        <v/>
      </c>
      <c r="D41" s="17">
        <f>IF(25&lt;=sipPeriod, -FV(monthlyRate, 12, C41/12), "")</f>
        <v/>
      </c>
      <c r="E41" s="17">
        <f>IF(25&lt;=sipPeriod, D41-C41+B41*effRate, "")</f>
        <v/>
      </c>
      <c r="F41" s="17">
        <f>IF(25&lt;=sipPeriod, B41+C41+E41, "")</f>
        <v/>
      </c>
    </row>
    <row r="42">
      <c r="A42" s="18">
        <f>IF(26&lt;=sipPeriod, 26, "")</f>
        <v/>
      </c>
      <c r="B42" s="19">
        <f>IF(26&lt;=sipPeriod, F41, "")</f>
        <v/>
      </c>
      <c r="C42" s="19">
        <f>IF(26&lt;=sipPeriod, monthlySIP*12*(1+stepUp)^(26-1), "")</f>
        <v/>
      </c>
      <c r="D42" s="19">
        <f>IF(26&lt;=sipPeriod, -FV(monthlyRate, 12, C42/12), "")</f>
        <v/>
      </c>
      <c r="E42" s="19">
        <f>IF(26&lt;=sipPeriod, D42-C42+B42*effRate, "")</f>
        <v/>
      </c>
      <c r="F42" s="19">
        <f>IF(26&lt;=sipPeriod, B42+C42+E42, "")</f>
        <v/>
      </c>
    </row>
    <row r="43">
      <c r="A43" s="16">
        <f>IF(27&lt;=sipPeriod, 27, "")</f>
        <v/>
      </c>
      <c r="B43" s="17">
        <f>IF(27&lt;=sipPeriod, F42, "")</f>
        <v/>
      </c>
      <c r="C43" s="17">
        <f>IF(27&lt;=sipPeriod, monthlySIP*12*(1+stepUp)^(27-1), "")</f>
        <v/>
      </c>
      <c r="D43" s="17">
        <f>IF(27&lt;=sipPeriod, -FV(monthlyRate, 12, C43/12), "")</f>
        <v/>
      </c>
      <c r="E43" s="17">
        <f>IF(27&lt;=sipPeriod, D43-C43+B43*effRate, "")</f>
        <v/>
      </c>
      <c r="F43" s="17">
        <f>IF(27&lt;=sipPeriod, B43+C43+E43, "")</f>
        <v/>
      </c>
    </row>
    <row r="44">
      <c r="A44" s="18">
        <f>IF(28&lt;=sipPeriod, 28, "")</f>
        <v/>
      </c>
      <c r="B44" s="19">
        <f>IF(28&lt;=sipPeriod, F43, "")</f>
        <v/>
      </c>
      <c r="C44" s="19">
        <f>IF(28&lt;=sipPeriod, monthlySIP*12*(1+stepUp)^(28-1), "")</f>
        <v/>
      </c>
      <c r="D44" s="19">
        <f>IF(28&lt;=sipPeriod, -FV(monthlyRate, 12, C44/12), "")</f>
        <v/>
      </c>
      <c r="E44" s="19">
        <f>IF(28&lt;=sipPeriod, D44-C44+B44*effRate, "")</f>
        <v/>
      </c>
      <c r="F44" s="19">
        <f>IF(28&lt;=sipPeriod, B44+C44+E44, "")</f>
        <v/>
      </c>
    </row>
    <row r="45">
      <c r="A45" s="16">
        <f>IF(29&lt;=sipPeriod, 29, "")</f>
        <v/>
      </c>
      <c r="B45" s="17">
        <f>IF(29&lt;=sipPeriod, F44, "")</f>
        <v/>
      </c>
      <c r="C45" s="17">
        <f>IF(29&lt;=sipPeriod, monthlySIP*12*(1+stepUp)^(29-1), "")</f>
        <v/>
      </c>
      <c r="D45" s="17">
        <f>IF(29&lt;=sipPeriod, -FV(monthlyRate, 12, C45/12), "")</f>
        <v/>
      </c>
      <c r="E45" s="17">
        <f>IF(29&lt;=sipPeriod, D45-C45+B45*effRate, "")</f>
        <v/>
      </c>
      <c r="F45" s="17">
        <f>IF(29&lt;=sipPeriod, B45+C45+E45, "")</f>
        <v/>
      </c>
    </row>
    <row r="46">
      <c r="A46" s="18">
        <f>IF(30&lt;=sipPeriod, 30, "")</f>
        <v/>
      </c>
      <c r="B46" s="19">
        <f>IF(30&lt;=sipPeriod, F45, "")</f>
        <v/>
      </c>
      <c r="C46" s="19">
        <f>IF(30&lt;=sipPeriod, monthlySIP*12*(1+stepUp)^(30-1), "")</f>
        <v/>
      </c>
      <c r="D46" s="19">
        <f>IF(30&lt;=sipPeriod, -FV(monthlyRate, 12, C46/12), "")</f>
        <v/>
      </c>
      <c r="E46" s="19">
        <f>IF(30&lt;=sipPeriod, D46-C46+B46*effRate, "")</f>
        <v/>
      </c>
      <c r="F46" s="19">
        <f>IF(30&lt;=sipPeriod, B46+C46+E46, "")</f>
        <v/>
      </c>
    </row>
    <row r="47">
      <c r="A47" s="16">
        <f>IF(31&lt;=sipPeriod, 31, "")</f>
        <v/>
      </c>
      <c r="B47" s="17">
        <f>IF(31&lt;=sipPeriod, F46, "")</f>
        <v/>
      </c>
      <c r="C47" s="17">
        <f>IF(31&lt;=sipPeriod, monthlySIP*12*(1+stepUp)^(31-1), "")</f>
        <v/>
      </c>
      <c r="D47" s="17">
        <f>IF(31&lt;=sipPeriod, -FV(monthlyRate, 12, C47/12), "")</f>
        <v/>
      </c>
      <c r="E47" s="17">
        <f>IF(31&lt;=sipPeriod, D47-C47+B47*effRate, "")</f>
        <v/>
      </c>
      <c r="F47" s="17">
        <f>IF(31&lt;=sipPeriod, B47+C47+E47, "")</f>
        <v/>
      </c>
    </row>
    <row r="48">
      <c r="A48" s="18">
        <f>IF(32&lt;=sipPeriod, 32, "")</f>
        <v/>
      </c>
      <c r="B48" s="19">
        <f>IF(32&lt;=sipPeriod, F47, "")</f>
        <v/>
      </c>
      <c r="C48" s="19">
        <f>IF(32&lt;=sipPeriod, monthlySIP*12*(1+stepUp)^(32-1), "")</f>
        <v/>
      </c>
      <c r="D48" s="19">
        <f>IF(32&lt;=sipPeriod, -FV(monthlyRate, 12, C48/12), "")</f>
        <v/>
      </c>
      <c r="E48" s="19">
        <f>IF(32&lt;=sipPeriod, D48-C48+B48*effRate, "")</f>
        <v/>
      </c>
      <c r="F48" s="19">
        <f>IF(32&lt;=sipPeriod, B48+C48+E48, "")</f>
        <v/>
      </c>
    </row>
    <row r="49">
      <c r="A49" s="16">
        <f>IF(33&lt;=sipPeriod, 33, "")</f>
        <v/>
      </c>
      <c r="B49" s="17">
        <f>IF(33&lt;=sipPeriod, F48, "")</f>
        <v/>
      </c>
      <c r="C49" s="17">
        <f>IF(33&lt;=sipPeriod, monthlySIP*12*(1+stepUp)^(33-1), "")</f>
        <v/>
      </c>
      <c r="D49" s="17">
        <f>IF(33&lt;=sipPeriod, -FV(monthlyRate, 12, C49/12), "")</f>
        <v/>
      </c>
      <c r="E49" s="17">
        <f>IF(33&lt;=sipPeriod, D49-C49+B49*effRate, "")</f>
        <v/>
      </c>
      <c r="F49" s="17">
        <f>IF(33&lt;=sipPeriod, B49+C49+E49, "")</f>
        <v/>
      </c>
    </row>
    <row r="50">
      <c r="A50" s="18">
        <f>IF(34&lt;=sipPeriod, 34, "")</f>
        <v/>
      </c>
      <c r="B50" s="19">
        <f>IF(34&lt;=sipPeriod, F49, "")</f>
        <v/>
      </c>
      <c r="C50" s="19">
        <f>IF(34&lt;=sipPeriod, monthlySIP*12*(1+stepUp)^(34-1), "")</f>
        <v/>
      </c>
      <c r="D50" s="19">
        <f>IF(34&lt;=sipPeriod, -FV(monthlyRate, 12, C50/12), "")</f>
        <v/>
      </c>
      <c r="E50" s="19">
        <f>IF(34&lt;=sipPeriod, D50-C50+B50*effRate, "")</f>
        <v/>
      </c>
      <c r="F50" s="19">
        <f>IF(34&lt;=sipPeriod, B50+C50+E50, "")</f>
        <v/>
      </c>
    </row>
    <row r="51">
      <c r="A51" s="16">
        <f>IF(35&lt;=sipPeriod, 35, "")</f>
        <v/>
      </c>
      <c r="B51" s="17">
        <f>IF(35&lt;=sipPeriod, F50, "")</f>
        <v/>
      </c>
      <c r="C51" s="17">
        <f>IF(35&lt;=sipPeriod, monthlySIP*12*(1+stepUp)^(35-1), "")</f>
        <v/>
      </c>
      <c r="D51" s="17">
        <f>IF(35&lt;=sipPeriod, -FV(monthlyRate, 12, C51/12), "")</f>
        <v/>
      </c>
      <c r="E51" s="17">
        <f>IF(35&lt;=sipPeriod, D51-C51+B51*effRate, "")</f>
        <v/>
      </c>
      <c r="F51" s="17">
        <f>IF(35&lt;=sipPeriod, B51+C51+E51, "")</f>
        <v/>
      </c>
    </row>
    <row r="52">
      <c r="A52" s="18">
        <f>IF(36&lt;=sipPeriod, 36, "")</f>
        <v/>
      </c>
      <c r="B52" s="19">
        <f>IF(36&lt;=sipPeriod, F51, "")</f>
        <v/>
      </c>
      <c r="C52" s="19">
        <f>IF(36&lt;=sipPeriod, monthlySIP*12*(1+stepUp)^(36-1), "")</f>
        <v/>
      </c>
      <c r="D52" s="19">
        <f>IF(36&lt;=sipPeriod, -FV(monthlyRate, 12, C52/12), "")</f>
        <v/>
      </c>
      <c r="E52" s="19">
        <f>IF(36&lt;=sipPeriod, D52-C52+B52*effRate, "")</f>
        <v/>
      </c>
      <c r="F52" s="19">
        <f>IF(36&lt;=sipPeriod, B52+C52+E52, "")</f>
        <v/>
      </c>
    </row>
    <row r="53">
      <c r="A53" s="16">
        <f>IF(37&lt;=sipPeriod, 37, "")</f>
        <v/>
      </c>
      <c r="B53" s="17">
        <f>IF(37&lt;=sipPeriod, F52, "")</f>
        <v/>
      </c>
      <c r="C53" s="17">
        <f>IF(37&lt;=sipPeriod, monthlySIP*12*(1+stepUp)^(37-1), "")</f>
        <v/>
      </c>
      <c r="D53" s="17">
        <f>IF(37&lt;=sipPeriod, -FV(monthlyRate, 12, C53/12), "")</f>
        <v/>
      </c>
      <c r="E53" s="17">
        <f>IF(37&lt;=sipPeriod, D53-C53+B53*effRate, "")</f>
        <v/>
      </c>
      <c r="F53" s="17">
        <f>IF(37&lt;=sipPeriod, B53+C53+E53, "")</f>
        <v/>
      </c>
    </row>
    <row r="54">
      <c r="A54" s="18">
        <f>IF(38&lt;=sipPeriod, 38, "")</f>
        <v/>
      </c>
      <c r="B54" s="19">
        <f>IF(38&lt;=sipPeriod, F53, "")</f>
        <v/>
      </c>
      <c r="C54" s="19">
        <f>IF(38&lt;=sipPeriod, monthlySIP*12*(1+stepUp)^(38-1), "")</f>
        <v/>
      </c>
      <c r="D54" s="19">
        <f>IF(38&lt;=sipPeriod, -FV(monthlyRate, 12, C54/12), "")</f>
        <v/>
      </c>
      <c r="E54" s="19">
        <f>IF(38&lt;=sipPeriod, D54-C54+B54*effRate, "")</f>
        <v/>
      </c>
      <c r="F54" s="19">
        <f>IF(38&lt;=sipPeriod, B54+C54+E54, "")</f>
        <v/>
      </c>
    </row>
    <row r="55">
      <c r="A55" s="16">
        <f>IF(39&lt;=sipPeriod, 39, "")</f>
        <v/>
      </c>
      <c r="B55" s="17">
        <f>IF(39&lt;=sipPeriod, F54, "")</f>
        <v/>
      </c>
      <c r="C55" s="17">
        <f>IF(39&lt;=sipPeriod, monthlySIP*12*(1+stepUp)^(39-1), "")</f>
        <v/>
      </c>
      <c r="D55" s="17">
        <f>IF(39&lt;=sipPeriod, -FV(monthlyRate, 12, C55/12), "")</f>
        <v/>
      </c>
      <c r="E55" s="17">
        <f>IF(39&lt;=sipPeriod, D55-C55+B55*effRate, "")</f>
        <v/>
      </c>
      <c r="F55" s="17">
        <f>IF(39&lt;=sipPeriod, B55+C55+E55, "")</f>
        <v/>
      </c>
    </row>
    <row r="56">
      <c r="A56" s="18">
        <f>IF(40&lt;=sipPeriod, 40, "")</f>
        <v/>
      </c>
      <c r="B56" s="19">
        <f>IF(40&lt;=sipPeriod, F55, "")</f>
        <v/>
      </c>
      <c r="C56" s="19">
        <f>IF(40&lt;=sipPeriod, monthlySIP*12*(1+stepUp)^(40-1), "")</f>
        <v/>
      </c>
      <c r="D56" s="19">
        <f>IF(40&lt;=sipPeriod, -FV(monthlyRate, 12, C56/12), "")</f>
        <v/>
      </c>
      <c r="E56" s="19">
        <f>IF(40&lt;=sipPeriod, D56-C56+B56*effRate, "")</f>
        <v/>
      </c>
      <c r="F56" s="19">
        <f>IF(40&lt;=sipPeriod, B56+C56+E56, "")</f>
        <v/>
      </c>
    </row>
    <row r="57">
      <c r="A57" s="16">
        <f>IF(41&lt;=sipPeriod, 41, "")</f>
        <v/>
      </c>
      <c r="B57" s="17">
        <f>IF(41&lt;=sipPeriod, F56, "")</f>
        <v/>
      </c>
      <c r="C57" s="17">
        <f>IF(41&lt;=sipPeriod, monthlySIP*12*(1+stepUp)^(41-1), "")</f>
        <v/>
      </c>
      <c r="D57" s="17">
        <f>IF(41&lt;=sipPeriod, -FV(monthlyRate, 12, C57/12), "")</f>
        <v/>
      </c>
      <c r="E57" s="17">
        <f>IF(41&lt;=sipPeriod, D57-C57+B57*effRate, "")</f>
        <v/>
      </c>
      <c r="F57" s="17">
        <f>IF(41&lt;=sipPeriod, B57+C57+E57, "")</f>
        <v/>
      </c>
    </row>
    <row r="58">
      <c r="A58" s="18">
        <f>IF(42&lt;=sipPeriod, 42, "")</f>
        <v/>
      </c>
      <c r="B58" s="19">
        <f>IF(42&lt;=sipPeriod, F57, "")</f>
        <v/>
      </c>
      <c r="C58" s="19">
        <f>IF(42&lt;=sipPeriod, monthlySIP*12*(1+stepUp)^(42-1), "")</f>
        <v/>
      </c>
      <c r="D58" s="19">
        <f>IF(42&lt;=sipPeriod, -FV(monthlyRate, 12, C58/12), "")</f>
        <v/>
      </c>
      <c r="E58" s="19">
        <f>IF(42&lt;=sipPeriod, D58-C58+B58*effRate, "")</f>
        <v/>
      </c>
      <c r="F58" s="19">
        <f>IF(42&lt;=sipPeriod, B58+C58+E58, "")</f>
        <v/>
      </c>
    </row>
    <row r="59">
      <c r="A59" s="16">
        <f>IF(43&lt;=sipPeriod, 43, "")</f>
        <v/>
      </c>
      <c r="B59" s="17">
        <f>IF(43&lt;=sipPeriod, F58, "")</f>
        <v/>
      </c>
      <c r="C59" s="17">
        <f>IF(43&lt;=sipPeriod, monthlySIP*12*(1+stepUp)^(43-1), "")</f>
        <v/>
      </c>
      <c r="D59" s="17">
        <f>IF(43&lt;=sipPeriod, -FV(monthlyRate, 12, C59/12), "")</f>
        <v/>
      </c>
      <c r="E59" s="17">
        <f>IF(43&lt;=sipPeriod, D59-C59+B59*effRate, "")</f>
        <v/>
      </c>
      <c r="F59" s="17">
        <f>IF(43&lt;=sipPeriod, B59+C59+E59, "")</f>
        <v/>
      </c>
    </row>
    <row r="60">
      <c r="A60" s="18">
        <f>IF(44&lt;=sipPeriod, 44, "")</f>
        <v/>
      </c>
      <c r="B60" s="19">
        <f>IF(44&lt;=sipPeriod, F59, "")</f>
        <v/>
      </c>
      <c r="C60" s="19">
        <f>IF(44&lt;=sipPeriod, monthlySIP*12*(1+stepUp)^(44-1), "")</f>
        <v/>
      </c>
      <c r="D60" s="19">
        <f>IF(44&lt;=sipPeriod, -FV(monthlyRate, 12, C60/12), "")</f>
        <v/>
      </c>
      <c r="E60" s="19">
        <f>IF(44&lt;=sipPeriod, D60-C60+B60*effRate, "")</f>
        <v/>
      </c>
      <c r="F60" s="19">
        <f>IF(44&lt;=sipPeriod, B60+C60+E60, "")</f>
        <v/>
      </c>
    </row>
    <row r="61">
      <c r="A61" s="16">
        <f>IF(45&lt;=sipPeriod, 45, "")</f>
        <v/>
      </c>
      <c r="B61" s="17">
        <f>IF(45&lt;=sipPeriod, F60, "")</f>
        <v/>
      </c>
      <c r="C61" s="17">
        <f>IF(45&lt;=sipPeriod, monthlySIP*12*(1+stepUp)^(45-1), "")</f>
        <v/>
      </c>
      <c r="D61" s="17">
        <f>IF(45&lt;=sipPeriod, -FV(monthlyRate, 12, C61/12), "")</f>
        <v/>
      </c>
      <c r="E61" s="17">
        <f>IF(45&lt;=sipPeriod, D61-C61+B61*effRate, "")</f>
        <v/>
      </c>
      <c r="F61" s="17">
        <f>IF(45&lt;=sipPeriod, B61+C61+E61, "")</f>
        <v/>
      </c>
    </row>
    <row r="62">
      <c r="A62" s="18">
        <f>IF(46&lt;=sipPeriod, 46, "")</f>
        <v/>
      </c>
      <c r="B62" s="19">
        <f>IF(46&lt;=sipPeriod, F61, "")</f>
        <v/>
      </c>
      <c r="C62" s="19">
        <f>IF(46&lt;=sipPeriod, monthlySIP*12*(1+stepUp)^(46-1), "")</f>
        <v/>
      </c>
      <c r="D62" s="19">
        <f>IF(46&lt;=sipPeriod, -FV(monthlyRate, 12, C62/12), "")</f>
        <v/>
      </c>
      <c r="E62" s="19">
        <f>IF(46&lt;=sipPeriod, D62-C62+B62*effRate, "")</f>
        <v/>
      </c>
      <c r="F62" s="19">
        <f>IF(46&lt;=sipPeriod, B62+C62+E62, "")</f>
        <v/>
      </c>
    </row>
    <row r="63">
      <c r="A63" s="16">
        <f>IF(47&lt;=sipPeriod, 47, "")</f>
        <v/>
      </c>
      <c r="B63" s="17">
        <f>IF(47&lt;=sipPeriod, F62, "")</f>
        <v/>
      </c>
      <c r="C63" s="17">
        <f>IF(47&lt;=sipPeriod, monthlySIP*12*(1+stepUp)^(47-1), "")</f>
        <v/>
      </c>
      <c r="D63" s="17">
        <f>IF(47&lt;=sipPeriod, -FV(monthlyRate, 12, C63/12), "")</f>
        <v/>
      </c>
      <c r="E63" s="17">
        <f>IF(47&lt;=sipPeriod, D63-C63+B63*effRate, "")</f>
        <v/>
      </c>
      <c r="F63" s="17">
        <f>IF(47&lt;=sipPeriod, B63+C63+E63, "")</f>
        <v/>
      </c>
    </row>
    <row r="64">
      <c r="A64" s="18">
        <f>IF(48&lt;=sipPeriod, 48, "")</f>
        <v/>
      </c>
      <c r="B64" s="19">
        <f>IF(48&lt;=sipPeriod, F63, "")</f>
        <v/>
      </c>
      <c r="C64" s="19">
        <f>IF(48&lt;=sipPeriod, monthlySIP*12*(1+stepUp)^(48-1), "")</f>
        <v/>
      </c>
      <c r="D64" s="19">
        <f>IF(48&lt;=sipPeriod, -FV(monthlyRate, 12, C64/12), "")</f>
        <v/>
      </c>
      <c r="E64" s="19">
        <f>IF(48&lt;=sipPeriod, D64-C64+B64*effRate, "")</f>
        <v/>
      </c>
      <c r="F64" s="19">
        <f>IF(48&lt;=sipPeriod, B64+C64+E64, "")</f>
        <v/>
      </c>
    </row>
    <row r="65">
      <c r="A65" s="16">
        <f>IF(49&lt;=sipPeriod, 49, "")</f>
        <v/>
      </c>
      <c r="B65" s="17">
        <f>IF(49&lt;=sipPeriod, F64, "")</f>
        <v/>
      </c>
      <c r="C65" s="17">
        <f>IF(49&lt;=sipPeriod, monthlySIP*12*(1+stepUp)^(49-1), "")</f>
        <v/>
      </c>
      <c r="D65" s="17">
        <f>IF(49&lt;=sipPeriod, -FV(monthlyRate, 12, C65/12), "")</f>
        <v/>
      </c>
      <c r="E65" s="17">
        <f>IF(49&lt;=sipPeriod, D65-C65+B65*effRate, "")</f>
        <v/>
      </c>
      <c r="F65" s="17">
        <f>IF(49&lt;=sipPeriod, B65+C65+E65, "")</f>
        <v/>
      </c>
    </row>
    <row r="66">
      <c r="A66" s="18">
        <f>IF(50&lt;=sipPeriod, 50, "")</f>
        <v/>
      </c>
      <c r="B66" s="19">
        <f>IF(50&lt;=sipPeriod, F65, "")</f>
        <v/>
      </c>
      <c r="C66" s="19">
        <f>IF(50&lt;=sipPeriod, monthlySIP*12*(1+stepUp)^(50-1), "")</f>
        <v/>
      </c>
      <c r="D66" s="19">
        <f>IF(50&lt;=sipPeriod, -FV(monthlyRate, 12, C66/12), "")</f>
        <v/>
      </c>
      <c r="E66" s="19">
        <f>IF(50&lt;=sipPeriod, D66-C66+B66*effRate, "")</f>
        <v/>
      </c>
      <c r="F66" s="19">
        <f>IF(50&lt;=sipPeriod, B66+C66+E66, "")</f>
        <v/>
      </c>
    </row>
    <row r="68">
      <c r="A68" s="14" t="inlineStr">
        <is>
          <t>WITHDRAWAL PHASE (Inflation-Adjusted)</t>
        </is>
      </c>
    </row>
    <row r="69" ht="28" customHeight="1">
      <c r="A69" s="15" t="inlineStr">
        <is>
          <t>Year (abs)</t>
        </is>
      </c>
      <c r="B69" s="15" t="inlineStr">
        <is>
          <t>Opening Corpus</t>
        </is>
      </c>
      <c r="C69" s="15" t="inlineStr">
        <is>
          <t>Annual Withdrawal</t>
        </is>
      </c>
      <c r="D69" s="15" t="inlineStr">
        <is>
          <t>Interest Earned</t>
        </is>
      </c>
      <c r="E69" s="15" t="inlineStr">
        <is>
          <t>Closing Balance</t>
        </is>
      </c>
      <c r="F69" s="15" t="inlineStr">
        <is>
          <t>Active?</t>
        </is>
      </c>
    </row>
    <row r="70">
      <c r="A70" s="16">
        <f>IF(AND(1&lt;=wdPeriod, ISNUMBER(B70), B70&gt;0), sipPeriod+1, "")</f>
        <v/>
      </c>
      <c r="B70" s="17">
        <f>IF(1&lt;=wdPeriod, INDEX(sipClBalCol, sipPeriod), "")</f>
        <v/>
      </c>
      <c r="C70" s="17">
        <f>IF(AND(1&lt;=wdPeriod, ISNUMBER(B70), B70&gt;0), monthlyWd*12*(1+inflation)^(1-1), "")</f>
        <v/>
      </c>
      <c r="D70" s="17">
        <f>IF(AND(1&lt;=wdPeriod, ISNUMBER(B70), B70&gt;0), (B70-C70/2)*annualRate, "")</f>
        <v/>
      </c>
      <c r="E70" s="17">
        <f>IF(AND(1&lt;=wdPeriod, ISNUMBER(B70), B70&gt;0), B70-C70+D70, "")</f>
        <v/>
      </c>
      <c r="F70" s="16">
        <f>IF(AND(1&lt;=wdPeriod, ISNUMBER(B70), B70&gt;0), 1, 0)</f>
        <v/>
      </c>
    </row>
    <row r="71">
      <c r="A71" s="18">
        <f>IF(AND(2&lt;=wdPeriod, ISNUMBER(B71), B71&gt;0), sipPeriod+2, "")</f>
        <v/>
      </c>
      <c r="B71" s="19">
        <f>IF(AND(2&lt;=wdPeriod, ISNUMBER(E70), E70&gt;0), E70, "")</f>
        <v/>
      </c>
      <c r="C71" s="19">
        <f>IF(AND(2&lt;=wdPeriod, ISNUMBER(B71), B71&gt;0), monthlyWd*12*(1+inflation)^(2-1), "")</f>
        <v/>
      </c>
      <c r="D71" s="19">
        <f>IF(AND(2&lt;=wdPeriod, ISNUMBER(B71), B71&gt;0), (B71-C71/2)*annualRate, "")</f>
        <v/>
      </c>
      <c r="E71" s="19">
        <f>IF(AND(2&lt;=wdPeriod, ISNUMBER(B71), B71&gt;0), B71-C71+D71, "")</f>
        <v/>
      </c>
      <c r="F71" s="18">
        <f>IF(AND(2&lt;=wdPeriod, ISNUMBER(B71), B71&gt;0), 1, 0)</f>
        <v/>
      </c>
    </row>
    <row r="72">
      <c r="A72" s="16">
        <f>IF(AND(3&lt;=wdPeriod, ISNUMBER(B72), B72&gt;0), sipPeriod+3, "")</f>
        <v/>
      </c>
      <c r="B72" s="17">
        <f>IF(AND(3&lt;=wdPeriod, ISNUMBER(E71), E71&gt;0), E71, "")</f>
        <v/>
      </c>
      <c r="C72" s="17">
        <f>IF(AND(3&lt;=wdPeriod, ISNUMBER(B72), B72&gt;0), monthlyWd*12*(1+inflation)^(3-1), "")</f>
        <v/>
      </c>
      <c r="D72" s="17">
        <f>IF(AND(3&lt;=wdPeriod, ISNUMBER(B72), B72&gt;0), (B72-C72/2)*annualRate, "")</f>
        <v/>
      </c>
      <c r="E72" s="17">
        <f>IF(AND(3&lt;=wdPeriod, ISNUMBER(B72), B72&gt;0), B72-C72+D72, "")</f>
        <v/>
      </c>
      <c r="F72" s="16">
        <f>IF(AND(3&lt;=wdPeriod, ISNUMBER(B72), B72&gt;0), 1, 0)</f>
        <v/>
      </c>
    </row>
    <row r="73">
      <c r="A73" s="18">
        <f>IF(AND(4&lt;=wdPeriod, ISNUMBER(B73), B73&gt;0), sipPeriod+4, "")</f>
        <v/>
      </c>
      <c r="B73" s="19">
        <f>IF(AND(4&lt;=wdPeriod, ISNUMBER(E72), E72&gt;0), E72, "")</f>
        <v/>
      </c>
      <c r="C73" s="19">
        <f>IF(AND(4&lt;=wdPeriod, ISNUMBER(B73), B73&gt;0), monthlyWd*12*(1+inflation)^(4-1), "")</f>
        <v/>
      </c>
      <c r="D73" s="19">
        <f>IF(AND(4&lt;=wdPeriod, ISNUMBER(B73), B73&gt;0), (B73-C73/2)*annualRate, "")</f>
        <v/>
      </c>
      <c r="E73" s="19">
        <f>IF(AND(4&lt;=wdPeriod, ISNUMBER(B73), B73&gt;0), B73-C73+D73, "")</f>
        <v/>
      </c>
      <c r="F73" s="18">
        <f>IF(AND(4&lt;=wdPeriod, ISNUMBER(B73), B73&gt;0), 1, 0)</f>
        <v/>
      </c>
    </row>
    <row r="74">
      <c r="A74" s="16">
        <f>IF(AND(5&lt;=wdPeriod, ISNUMBER(B74), B74&gt;0), sipPeriod+5, "")</f>
        <v/>
      </c>
      <c r="B74" s="17">
        <f>IF(AND(5&lt;=wdPeriod, ISNUMBER(E73), E73&gt;0), E73, "")</f>
        <v/>
      </c>
      <c r="C74" s="17">
        <f>IF(AND(5&lt;=wdPeriod, ISNUMBER(B74), B74&gt;0), monthlyWd*12*(1+inflation)^(5-1), "")</f>
        <v/>
      </c>
      <c r="D74" s="17">
        <f>IF(AND(5&lt;=wdPeriod, ISNUMBER(B74), B74&gt;0), (B74-C74/2)*annualRate, "")</f>
        <v/>
      </c>
      <c r="E74" s="17">
        <f>IF(AND(5&lt;=wdPeriod, ISNUMBER(B74), B74&gt;0), B74-C74+D74, "")</f>
        <v/>
      </c>
      <c r="F74" s="16">
        <f>IF(AND(5&lt;=wdPeriod, ISNUMBER(B74), B74&gt;0), 1, 0)</f>
        <v/>
      </c>
    </row>
    <row r="75">
      <c r="A75" s="18">
        <f>IF(AND(6&lt;=wdPeriod, ISNUMBER(B75), B75&gt;0), sipPeriod+6, "")</f>
        <v/>
      </c>
      <c r="B75" s="19">
        <f>IF(AND(6&lt;=wdPeriod, ISNUMBER(E74), E74&gt;0), E74, "")</f>
        <v/>
      </c>
      <c r="C75" s="19">
        <f>IF(AND(6&lt;=wdPeriod, ISNUMBER(B75), B75&gt;0), monthlyWd*12*(1+inflation)^(6-1), "")</f>
        <v/>
      </c>
      <c r="D75" s="19">
        <f>IF(AND(6&lt;=wdPeriod, ISNUMBER(B75), B75&gt;0), (B75-C75/2)*annualRate, "")</f>
        <v/>
      </c>
      <c r="E75" s="19">
        <f>IF(AND(6&lt;=wdPeriod, ISNUMBER(B75), B75&gt;0), B75-C75+D75, "")</f>
        <v/>
      </c>
      <c r="F75" s="18">
        <f>IF(AND(6&lt;=wdPeriod, ISNUMBER(B75), B75&gt;0), 1, 0)</f>
        <v/>
      </c>
    </row>
    <row r="76">
      <c r="A76" s="16">
        <f>IF(AND(7&lt;=wdPeriod, ISNUMBER(B76), B76&gt;0), sipPeriod+7, "")</f>
        <v/>
      </c>
      <c r="B76" s="17">
        <f>IF(AND(7&lt;=wdPeriod, ISNUMBER(E75), E75&gt;0), E75, "")</f>
        <v/>
      </c>
      <c r="C76" s="17">
        <f>IF(AND(7&lt;=wdPeriod, ISNUMBER(B76), B76&gt;0), monthlyWd*12*(1+inflation)^(7-1), "")</f>
        <v/>
      </c>
      <c r="D76" s="17">
        <f>IF(AND(7&lt;=wdPeriod, ISNUMBER(B76), B76&gt;0), (B76-C76/2)*annualRate, "")</f>
        <v/>
      </c>
      <c r="E76" s="17">
        <f>IF(AND(7&lt;=wdPeriod, ISNUMBER(B76), B76&gt;0), B76-C76+D76, "")</f>
        <v/>
      </c>
      <c r="F76" s="16">
        <f>IF(AND(7&lt;=wdPeriod, ISNUMBER(B76), B76&gt;0), 1, 0)</f>
        <v/>
      </c>
    </row>
    <row r="77">
      <c r="A77" s="18">
        <f>IF(AND(8&lt;=wdPeriod, ISNUMBER(B77), B77&gt;0), sipPeriod+8, "")</f>
        <v/>
      </c>
      <c r="B77" s="19">
        <f>IF(AND(8&lt;=wdPeriod, ISNUMBER(E76), E76&gt;0), E76, "")</f>
        <v/>
      </c>
      <c r="C77" s="19">
        <f>IF(AND(8&lt;=wdPeriod, ISNUMBER(B77), B77&gt;0), monthlyWd*12*(1+inflation)^(8-1), "")</f>
        <v/>
      </c>
      <c r="D77" s="19">
        <f>IF(AND(8&lt;=wdPeriod, ISNUMBER(B77), B77&gt;0), (B77-C77/2)*annualRate, "")</f>
        <v/>
      </c>
      <c r="E77" s="19">
        <f>IF(AND(8&lt;=wdPeriod, ISNUMBER(B77), B77&gt;0), B77-C77+D77, "")</f>
        <v/>
      </c>
      <c r="F77" s="18">
        <f>IF(AND(8&lt;=wdPeriod, ISNUMBER(B77), B77&gt;0), 1, 0)</f>
        <v/>
      </c>
    </row>
    <row r="78">
      <c r="A78" s="16">
        <f>IF(AND(9&lt;=wdPeriod, ISNUMBER(B78), B78&gt;0), sipPeriod+9, "")</f>
        <v/>
      </c>
      <c r="B78" s="17">
        <f>IF(AND(9&lt;=wdPeriod, ISNUMBER(E77), E77&gt;0), E77, "")</f>
        <v/>
      </c>
      <c r="C78" s="17">
        <f>IF(AND(9&lt;=wdPeriod, ISNUMBER(B78), B78&gt;0), monthlyWd*12*(1+inflation)^(9-1), "")</f>
        <v/>
      </c>
      <c r="D78" s="17">
        <f>IF(AND(9&lt;=wdPeriod, ISNUMBER(B78), B78&gt;0), (B78-C78/2)*annualRate, "")</f>
        <v/>
      </c>
      <c r="E78" s="17">
        <f>IF(AND(9&lt;=wdPeriod, ISNUMBER(B78), B78&gt;0), B78-C78+D78, "")</f>
        <v/>
      </c>
      <c r="F78" s="16">
        <f>IF(AND(9&lt;=wdPeriod, ISNUMBER(B78), B78&gt;0), 1, 0)</f>
        <v/>
      </c>
    </row>
    <row r="79">
      <c r="A79" s="18">
        <f>IF(AND(10&lt;=wdPeriod, ISNUMBER(B79), B79&gt;0), sipPeriod+10, "")</f>
        <v/>
      </c>
      <c r="B79" s="19">
        <f>IF(AND(10&lt;=wdPeriod, ISNUMBER(E78), E78&gt;0), E78, "")</f>
        <v/>
      </c>
      <c r="C79" s="19">
        <f>IF(AND(10&lt;=wdPeriod, ISNUMBER(B79), B79&gt;0), monthlyWd*12*(1+inflation)^(10-1), "")</f>
        <v/>
      </c>
      <c r="D79" s="19">
        <f>IF(AND(10&lt;=wdPeriod, ISNUMBER(B79), B79&gt;0), (B79-C79/2)*annualRate, "")</f>
        <v/>
      </c>
      <c r="E79" s="19">
        <f>IF(AND(10&lt;=wdPeriod, ISNUMBER(B79), B79&gt;0), B79-C79+D79, "")</f>
        <v/>
      </c>
      <c r="F79" s="18">
        <f>IF(AND(10&lt;=wdPeriod, ISNUMBER(B79), B79&gt;0), 1, 0)</f>
        <v/>
      </c>
    </row>
    <row r="80">
      <c r="A80" s="16">
        <f>IF(AND(11&lt;=wdPeriod, ISNUMBER(B80), B80&gt;0), sipPeriod+11, "")</f>
        <v/>
      </c>
      <c r="B80" s="17">
        <f>IF(AND(11&lt;=wdPeriod, ISNUMBER(E79), E79&gt;0), E79, "")</f>
        <v/>
      </c>
      <c r="C80" s="17">
        <f>IF(AND(11&lt;=wdPeriod, ISNUMBER(B80), B80&gt;0), monthlyWd*12*(1+inflation)^(11-1), "")</f>
        <v/>
      </c>
      <c r="D80" s="17">
        <f>IF(AND(11&lt;=wdPeriod, ISNUMBER(B80), B80&gt;0), (B80-C80/2)*annualRate, "")</f>
        <v/>
      </c>
      <c r="E80" s="17">
        <f>IF(AND(11&lt;=wdPeriod, ISNUMBER(B80), B80&gt;0), B80-C80+D80, "")</f>
        <v/>
      </c>
      <c r="F80" s="16">
        <f>IF(AND(11&lt;=wdPeriod, ISNUMBER(B80), B80&gt;0), 1, 0)</f>
        <v/>
      </c>
    </row>
    <row r="81">
      <c r="A81" s="18">
        <f>IF(AND(12&lt;=wdPeriod, ISNUMBER(B81), B81&gt;0), sipPeriod+12, "")</f>
        <v/>
      </c>
      <c r="B81" s="19">
        <f>IF(AND(12&lt;=wdPeriod, ISNUMBER(E80), E80&gt;0), E80, "")</f>
        <v/>
      </c>
      <c r="C81" s="19">
        <f>IF(AND(12&lt;=wdPeriod, ISNUMBER(B81), B81&gt;0), monthlyWd*12*(1+inflation)^(12-1), "")</f>
        <v/>
      </c>
      <c r="D81" s="19">
        <f>IF(AND(12&lt;=wdPeriod, ISNUMBER(B81), B81&gt;0), (B81-C81/2)*annualRate, "")</f>
        <v/>
      </c>
      <c r="E81" s="19">
        <f>IF(AND(12&lt;=wdPeriod, ISNUMBER(B81), B81&gt;0), B81-C81+D81, "")</f>
        <v/>
      </c>
      <c r="F81" s="18">
        <f>IF(AND(12&lt;=wdPeriod, ISNUMBER(B81), B81&gt;0), 1, 0)</f>
        <v/>
      </c>
    </row>
    <row r="82">
      <c r="A82" s="16">
        <f>IF(AND(13&lt;=wdPeriod, ISNUMBER(B82), B82&gt;0), sipPeriod+13, "")</f>
        <v/>
      </c>
      <c r="B82" s="17">
        <f>IF(AND(13&lt;=wdPeriod, ISNUMBER(E81), E81&gt;0), E81, "")</f>
        <v/>
      </c>
      <c r="C82" s="17">
        <f>IF(AND(13&lt;=wdPeriod, ISNUMBER(B82), B82&gt;0), monthlyWd*12*(1+inflation)^(13-1), "")</f>
        <v/>
      </c>
      <c r="D82" s="17">
        <f>IF(AND(13&lt;=wdPeriod, ISNUMBER(B82), B82&gt;0), (B82-C82/2)*annualRate, "")</f>
        <v/>
      </c>
      <c r="E82" s="17">
        <f>IF(AND(13&lt;=wdPeriod, ISNUMBER(B82), B82&gt;0), B82-C82+D82, "")</f>
        <v/>
      </c>
      <c r="F82" s="16">
        <f>IF(AND(13&lt;=wdPeriod, ISNUMBER(B82), B82&gt;0), 1, 0)</f>
        <v/>
      </c>
    </row>
    <row r="83">
      <c r="A83" s="18">
        <f>IF(AND(14&lt;=wdPeriod, ISNUMBER(B83), B83&gt;0), sipPeriod+14, "")</f>
        <v/>
      </c>
      <c r="B83" s="19">
        <f>IF(AND(14&lt;=wdPeriod, ISNUMBER(E82), E82&gt;0), E82, "")</f>
        <v/>
      </c>
      <c r="C83" s="19">
        <f>IF(AND(14&lt;=wdPeriod, ISNUMBER(B83), B83&gt;0), monthlyWd*12*(1+inflation)^(14-1), "")</f>
        <v/>
      </c>
      <c r="D83" s="19">
        <f>IF(AND(14&lt;=wdPeriod, ISNUMBER(B83), B83&gt;0), (B83-C83/2)*annualRate, "")</f>
        <v/>
      </c>
      <c r="E83" s="19">
        <f>IF(AND(14&lt;=wdPeriod, ISNUMBER(B83), B83&gt;0), B83-C83+D83, "")</f>
        <v/>
      </c>
      <c r="F83" s="18">
        <f>IF(AND(14&lt;=wdPeriod, ISNUMBER(B83), B83&gt;0), 1, 0)</f>
        <v/>
      </c>
    </row>
    <row r="84">
      <c r="A84" s="16">
        <f>IF(AND(15&lt;=wdPeriod, ISNUMBER(B84), B84&gt;0), sipPeriod+15, "")</f>
        <v/>
      </c>
      <c r="B84" s="17">
        <f>IF(AND(15&lt;=wdPeriod, ISNUMBER(E83), E83&gt;0), E83, "")</f>
        <v/>
      </c>
      <c r="C84" s="17">
        <f>IF(AND(15&lt;=wdPeriod, ISNUMBER(B84), B84&gt;0), monthlyWd*12*(1+inflation)^(15-1), "")</f>
        <v/>
      </c>
      <c r="D84" s="17">
        <f>IF(AND(15&lt;=wdPeriod, ISNUMBER(B84), B84&gt;0), (B84-C84/2)*annualRate, "")</f>
        <v/>
      </c>
      <c r="E84" s="17">
        <f>IF(AND(15&lt;=wdPeriod, ISNUMBER(B84), B84&gt;0), B84-C84+D84, "")</f>
        <v/>
      </c>
      <c r="F84" s="16">
        <f>IF(AND(15&lt;=wdPeriod, ISNUMBER(B84), B84&gt;0), 1, 0)</f>
        <v/>
      </c>
    </row>
    <row r="85">
      <c r="A85" s="18">
        <f>IF(AND(16&lt;=wdPeriod, ISNUMBER(B85), B85&gt;0), sipPeriod+16, "")</f>
        <v/>
      </c>
      <c r="B85" s="19">
        <f>IF(AND(16&lt;=wdPeriod, ISNUMBER(E84), E84&gt;0), E84, "")</f>
        <v/>
      </c>
      <c r="C85" s="19">
        <f>IF(AND(16&lt;=wdPeriod, ISNUMBER(B85), B85&gt;0), monthlyWd*12*(1+inflation)^(16-1), "")</f>
        <v/>
      </c>
      <c r="D85" s="19">
        <f>IF(AND(16&lt;=wdPeriod, ISNUMBER(B85), B85&gt;0), (B85-C85/2)*annualRate, "")</f>
        <v/>
      </c>
      <c r="E85" s="19">
        <f>IF(AND(16&lt;=wdPeriod, ISNUMBER(B85), B85&gt;0), B85-C85+D85, "")</f>
        <v/>
      </c>
      <c r="F85" s="18">
        <f>IF(AND(16&lt;=wdPeriod, ISNUMBER(B85), B85&gt;0), 1, 0)</f>
        <v/>
      </c>
    </row>
    <row r="86">
      <c r="A86" s="16">
        <f>IF(AND(17&lt;=wdPeriod, ISNUMBER(B86), B86&gt;0), sipPeriod+17, "")</f>
        <v/>
      </c>
      <c r="B86" s="17">
        <f>IF(AND(17&lt;=wdPeriod, ISNUMBER(E85), E85&gt;0), E85, "")</f>
        <v/>
      </c>
      <c r="C86" s="17">
        <f>IF(AND(17&lt;=wdPeriod, ISNUMBER(B86), B86&gt;0), monthlyWd*12*(1+inflation)^(17-1), "")</f>
        <v/>
      </c>
      <c r="D86" s="17">
        <f>IF(AND(17&lt;=wdPeriod, ISNUMBER(B86), B86&gt;0), (B86-C86/2)*annualRate, "")</f>
        <v/>
      </c>
      <c r="E86" s="17">
        <f>IF(AND(17&lt;=wdPeriod, ISNUMBER(B86), B86&gt;0), B86-C86+D86, "")</f>
        <v/>
      </c>
      <c r="F86" s="16">
        <f>IF(AND(17&lt;=wdPeriod, ISNUMBER(B86), B86&gt;0), 1, 0)</f>
        <v/>
      </c>
    </row>
    <row r="87">
      <c r="A87" s="18">
        <f>IF(AND(18&lt;=wdPeriod, ISNUMBER(B87), B87&gt;0), sipPeriod+18, "")</f>
        <v/>
      </c>
      <c r="B87" s="19">
        <f>IF(AND(18&lt;=wdPeriod, ISNUMBER(E86), E86&gt;0), E86, "")</f>
        <v/>
      </c>
      <c r="C87" s="19">
        <f>IF(AND(18&lt;=wdPeriod, ISNUMBER(B87), B87&gt;0), monthlyWd*12*(1+inflation)^(18-1), "")</f>
        <v/>
      </c>
      <c r="D87" s="19">
        <f>IF(AND(18&lt;=wdPeriod, ISNUMBER(B87), B87&gt;0), (B87-C87/2)*annualRate, "")</f>
        <v/>
      </c>
      <c r="E87" s="19">
        <f>IF(AND(18&lt;=wdPeriod, ISNUMBER(B87), B87&gt;0), B87-C87+D87, "")</f>
        <v/>
      </c>
      <c r="F87" s="18">
        <f>IF(AND(18&lt;=wdPeriod, ISNUMBER(B87), B87&gt;0), 1, 0)</f>
        <v/>
      </c>
    </row>
    <row r="88">
      <c r="A88" s="16">
        <f>IF(AND(19&lt;=wdPeriod, ISNUMBER(B88), B88&gt;0), sipPeriod+19, "")</f>
        <v/>
      </c>
      <c r="B88" s="17">
        <f>IF(AND(19&lt;=wdPeriod, ISNUMBER(E87), E87&gt;0), E87, "")</f>
        <v/>
      </c>
      <c r="C88" s="17">
        <f>IF(AND(19&lt;=wdPeriod, ISNUMBER(B88), B88&gt;0), monthlyWd*12*(1+inflation)^(19-1), "")</f>
        <v/>
      </c>
      <c r="D88" s="17">
        <f>IF(AND(19&lt;=wdPeriod, ISNUMBER(B88), B88&gt;0), (B88-C88/2)*annualRate, "")</f>
        <v/>
      </c>
      <c r="E88" s="17">
        <f>IF(AND(19&lt;=wdPeriod, ISNUMBER(B88), B88&gt;0), B88-C88+D88, "")</f>
        <v/>
      </c>
      <c r="F88" s="16">
        <f>IF(AND(19&lt;=wdPeriod, ISNUMBER(B88), B88&gt;0), 1, 0)</f>
        <v/>
      </c>
    </row>
    <row r="89">
      <c r="A89" s="18">
        <f>IF(AND(20&lt;=wdPeriod, ISNUMBER(B89), B89&gt;0), sipPeriod+20, "")</f>
        <v/>
      </c>
      <c r="B89" s="19">
        <f>IF(AND(20&lt;=wdPeriod, ISNUMBER(E88), E88&gt;0), E88, "")</f>
        <v/>
      </c>
      <c r="C89" s="19">
        <f>IF(AND(20&lt;=wdPeriod, ISNUMBER(B89), B89&gt;0), monthlyWd*12*(1+inflation)^(20-1), "")</f>
        <v/>
      </c>
      <c r="D89" s="19">
        <f>IF(AND(20&lt;=wdPeriod, ISNUMBER(B89), B89&gt;0), (B89-C89/2)*annualRate, "")</f>
        <v/>
      </c>
      <c r="E89" s="19">
        <f>IF(AND(20&lt;=wdPeriod, ISNUMBER(B89), B89&gt;0), B89-C89+D89, "")</f>
        <v/>
      </c>
      <c r="F89" s="18">
        <f>IF(AND(20&lt;=wdPeriod, ISNUMBER(B89), B89&gt;0), 1, 0)</f>
        <v/>
      </c>
    </row>
    <row r="90">
      <c r="A90" s="16">
        <f>IF(AND(21&lt;=wdPeriod, ISNUMBER(B90), B90&gt;0), sipPeriod+21, "")</f>
        <v/>
      </c>
      <c r="B90" s="17">
        <f>IF(AND(21&lt;=wdPeriod, ISNUMBER(E89), E89&gt;0), E89, "")</f>
        <v/>
      </c>
      <c r="C90" s="17">
        <f>IF(AND(21&lt;=wdPeriod, ISNUMBER(B90), B90&gt;0), monthlyWd*12*(1+inflation)^(21-1), "")</f>
        <v/>
      </c>
      <c r="D90" s="17">
        <f>IF(AND(21&lt;=wdPeriod, ISNUMBER(B90), B90&gt;0), (B90-C90/2)*annualRate, "")</f>
        <v/>
      </c>
      <c r="E90" s="17">
        <f>IF(AND(21&lt;=wdPeriod, ISNUMBER(B90), B90&gt;0), B90-C90+D90, "")</f>
        <v/>
      </c>
      <c r="F90" s="16">
        <f>IF(AND(21&lt;=wdPeriod, ISNUMBER(B90), B90&gt;0), 1, 0)</f>
        <v/>
      </c>
    </row>
    <row r="91">
      <c r="A91" s="18">
        <f>IF(AND(22&lt;=wdPeriod, ISNUMBER(B91), B91&gt;0), sipPeriod+22, "")</f>
        <v/>
      </c>
      <c r="B91" s="19">
        <f>IF(AND(22&lt;=wdPeriod, ISNUMBER(E90), E90&gt;0), E90, "")</f>
        <v/>
      </c>
      <c r="C91" s="19">
        <f>IF(AND(22&lt;=wdPeriod, ISNUMBER(B91), B91&gt;0), monthlyWd*12*(1+inflation)^(22-1), "")</f>
        <v/>
      </c>
      <c r="D91" s="19">
        <f>IF(AND(22&lt;=wdPeriod, ISNUMBER(B91), B91&gt;0), (B91-C91/2)*annualRate, "")</f>
        <v/>
      </c>
      <c r="E91" s="19">
        <f>IF(AND(22&lt;=wdPeriod, ISNUMBER(B91), B91&gt;0), B91-C91+D91, "")</f>
        <v/>
      </c>
      <c r="F91" s="18">
        <f>IF(AND(22&lt;=wdPeriod, ISNUMBER(B91), B91&gt;0), 1, 0)</f>
        <v/>
      </c>
    </row>
    <row r="92">
      <c r="A92" s="16">
        <f>IF(AND(23&lt;=wdPeriod, ISNUMBER(B92), B92&gt;0), sipPeriod+23, "")</f>
        <v/>
      </c>
      <c r="B92" s="17">
        <f>IF(AND(23&lt;=wdPeriod, ISNUMBER(E91), E91&gt;0), E91, "")</f>
        <v/>
      </c>
      <c r="C92" s="17">
        <f>IF(AND(23&lt;=wdPeriod, ISNUMBER(B92), B92&gt;0), monthlyWd*12*(1+inflation)^(23-1), "")</f>
        <v/>
      </c>
      <c r="D92" s="17">
        <f>IF(AND(23&lt;=wdPeriod, ISNUMBER(B92), B92&gt;0), (B92-C92/2)*annualRate, "")</f>
        <v/>
      </c>
      <c r="E92" s="17">
        <f>IF(AND(23&lt;=wdPeriod, ISNUMBER(B92), B92&gt;0), B92-C92+D92, "")</f>
        <v/>
      </c>
      <c r="F92" s="16">
        <f>IF(AND(23&lt;=wdPeriod, ISNUMBER(B92), B92&gt;0), 1, 0)</f>
        <v/>
      </c>
    </row>
    <row r="93">
      <c r="A93" s="18">
        <f>IF(AND(24&lt;=wdPeriod, ISNUMBER(B93), B93&gt;0), sipPeriod+24, "")</f>
        <v/>
      </c>
      <c r="B93" s="19">
        <f>IF(AND(24&lt;=wdPeriod, ISNUMBER(E92), E92&gt;0), E92, "")</f>
        <v/>
      </c>
      <c r="C93" s="19">
        <f>IF(AND(24&lt;=wdPeriod, ISNUMBER(B93), B93&gt;0), monthlyWd*12*(1+inflation)^(24-1), "")</f>
        <v/>
      </c>
      <c r="D93" s="19">
        <f>IF(AND(24&lt;=wdPeriod, ISNUMBER(B93), B93&gt;0), (B93-C93/2)*annualRate, "")</f>
        <v/>
      </c>
      <c r="E93" s="19">
        <f>IF(AND(24&lt;=wdPeriod, ISNUMBER(B93), B93&gt;0), B93-C93+D93, "")</f>
        <v/>
      </c>
      <c r="F93" s="18">
        <f>IF(AND(24&lt;=wdPeriod, ISNUMBER(B93), B93&gt;0), 1, 0)</f>
        <v/>
      </c>
    </row>
    <row r="94">
      <c r="A94" s="16">
        <f>IF(AND(25&lt;=wdPeriod, ISNUMBER(B94), B94&gt;0), sipPeriod+25, "")</f>
        <v/>
      </c>
      <c r="B94" s="17">
        <f>IF(AND(25&lt;=wdPeriod, ISNUMBER(E93), E93&gt;0), E93, "")</f>
        <v/>
      </c>
      <c r="C94" s="17">
        <f>IF(AND(25&lt;=wdPeriod, ISNUMBER(B94), B94&gt;0), monthlyWd*12*(1+inflation)^(25-1), "")</f>
        <v/>
      </c>
      <c r="D94" s="17">
        <f>IF(AND(25&lt;=wdPeriod, ISNUMBER(B94), B94&gt;0), (B94-C94/2)*annualRate, "")</f>
        <v/>
      </c>
      <c r="E94" s="17">
        <f>IF(AND(25&lt;=wdPeriod, ISNUMBER(B94), B94&gt;0), B94-C94+D94, "")</f>
        <v/>
      </c>
      <c r="F94" s="16">
        <f>IF(AND(25&lt;=wdPeriod, ISNUMBER(B94), B94&gt;0), 1, 0)</f>
        <v/>
      </c>
    </row>
    <row r="95">
      <c r="A95" s="18">
        <f>IF(AND(26&lt;=wdPeriod, ISNUMBER(B95), B95&gt;0), sipPeriod+26, "")</f>
        <v/>
      </c>
      <c r="B95" s="19">
        <f>IF(AND(26&lt;=wdPeriod, ISNUMBER(E94), E94&gt;0), E94, "")</f>
        <v/>
      </c>
      <c r="C95" s="19">
        <f>IF(AND(26&lt;=wdPeriod, ISNUMBER(B95), B95&gt;0), monthlyWd*12*(1+inflation)^(26-1), "")</f>
        <v/>
      </c>
      <c r="D95" s="19">
        <f>IF(AND(26&lt;=wdPeriod, ISNUMBER(B95), B95&gt;0), (B95-C95/2)*annualRate, "")</f>
        <v/>
      </c>
      <c r="E95" s="19">
        <f>IF(AND(26&lt;=wdPeriod, ISNUMBER(B95), B95&gt;0), B95-C95+D95, "")</f>
        <v/>
      </c>
      <c r="F95" s="18">
        <f>IF(AND(26&lt;=wdPeriod, ISNUMBER(B95), B95&gt;0), 1, 0)</f>
        <v/>
      </c>
    </row>
    <row r="96">
      <c r="A96" s="16">
        <f>IF(AND(27&lt;=wdPeriod, ISNUMBER(B96), B96&gt;0), sipPeriod+27, "")</f>
        <v/>
      </c>
      <c r="B96" s="17">
        <f>IF(AND(27&lt;=wdPeriod, ISNUMBER(E95), E95&gt;0), E95, "")</f>
        <v/>
      </c>
      <c r="C96" s="17">
        <f>IF(AND(27&lt;=wdPeriod, ISNUMBER(B96), B96&gt;0), monthlyWd*12*(1+inflation)^(27-1), "")</f>
        <v/>
      </c>
      <c r="D96" s="17">
        <f>IF(AND(27&lt;=wdPeriod, ISNUMBER(B96), B96&gt;0), (B96-C96/2)*annualRate, "")</f>
        <v/>
      </c>
      <c r="E96" s="17">
        <f>IF(AND(27&lt;=wdPeriod, ISNUMBER(B96), B96&gt;0), B96-C96+D96, "")</f>
        <v/>
      </c>
      <c r="F96" s="16">
        <f>IF(AND(27&lt;=wdPeriod, ISNUMBER(B96), B96&gt;0), 1, 0)</f>
        <v/>
      </c>
    </row>
    <row r="97">
      <c r="A97" s="18">
        <f>IF(AND(28&lt;=wdPeriod, ISNUMBER(B97), B97&gt;0), sipPeriod+28, "")</f>
        <v/>
      </c>
      <c r="B97" s="19">
        <f>IF(AND(28&lt;=wdPeriod, ISNUMBER(E96), E96&gt;0), E96, "")</f>
        <v/>
      </c>
      <c r="C97" s="19">
        <f>IF(AND(28&lt;=wdPeriod, ISNUMBER(B97), B97&gt;0), monthlyWd*12*(1+inflation)^(28-1), "")</f>
        <v/>
      </c>
      <c r="D97" s="19">
        <f>IF(AND(28&lt;=wdPeriod, ISNUMBER(B97), B97&gt;0), (B97-C97/2)*annualRate, "")</f>
        <v/>
      </c>
      <c r="E97" s="19">
        <f>IF(AND(28&lt;=wdPeriod, ISNUMBER(B97), B97&gt;0), B97-C97+D97, "")</f>
        <v/>
      </c>
      <c r="F97" s="18">
        <f>IF(AND(28&lt;=wdPeriod, ISNUMBER(B97), B97&gt;0), 1, 0)</f>
        <v/>
      </c>
    </row>
    <row r="98">
      <c r="A98" s="16">
        <f>IF(AND(29&lt;=wdPeriod, ISNUMBER(B98), B98&gt;0), sipPeriod+29, "")</f>
        <v/>
      </c>
      <c r="B98" s="17">
        <f>IF(AND(29&lt;=wdPeriod, ISNUMBER(E97), E97&gt;0), E97, "")</f>
        <v/>
      </c>
      <c r="C98" s="17">
        <f>IF(AND(29&lt;=wdPeriod, ISNUMBER(B98), B98&gt;0), monthlyWd*12*(1+inflation)^(29-1), "")</f>
        <v/>
      </c>
      <c r="D98" s="17">
        <f>IF(AND(29&lt;=wdPeriod, ISNUMBER(B98), B98&gt;0), (B98-C98/2)*annualRate, "")</f>
        <v/>
      </c>
      <c r="E98" s="17">
        <f>IF(AND(29&lt;=wdPeriod, ISNUMBER(B98), B98&gt;0), B98-C98+D98, "")</f>
        <v/>
      </c>
      <c r="F98" s="16">
        <f>IF(AND(29&lt;=wdPeriod, ISNUMBER(B98), B98&gt;0), 1, 0)</f>
        <v/>
      </c>
    </row>
    <row r="99">
      <c r="A99" s="18">
        <f>IF(AND(30&lt;=wdPeriod, ISNUMBER(B99), B99&gt;0), sipPeriod+30, "")</f>
        <v/>
      </c>
      <c r="B99" s="19">
        <f>IF(AND(30&lt;=wdPeriod, ISNUMBER(E98), E98&gt;0), E98, "")</f>
        <v/>
      </c>
      <c r="C99" s="19">
        <f>IF(AND(30&lt;=wdPeriod, ISNUMBER(B99), B99&gt;0), monthlyWd*12*(1+inflation)^(30-1), "")</f>
        <v/>
      </c>
      <c r="D99" s="19">
        <f>IF(AND(30&lt;=wdPeriod, ISNUMBER(B99), B99&gt;0), (B99-C99/2)*annualRate, "")</f>
        <v/>
      </c>
      <c r="E99" s="19">
        <f>IF(AND(30&lt;=wdPeriod, ISNUMBER(B99), B99&gt;0), B99-C99+D99, "")</f>
        <v/>
      </c>
      <c r="F99" s="18">
        <f>IF(AND(30&lt;=wdPeriod, ISNUMBER(B99), B99&gt;0), 1, 0)</f>
        <v/>
      </c>
    </row>
    <row r="100">
      <c r="A100" s="16">
        <f>IF(AND(31&lt;=wdPeriod, ISNUMBER(B100), B100&gt;0), sipPeriod+31, "")</f>
        <v/>
      </c>
      <c r="B100" s="17">
        <f>IF(AND(31&lt;=wdPeriod, ISNUMBER(E99), E99&gt;0), E99, "")</f>
        <v/>
      </c>
      <c r="C100" s="17">
        <f>IF(AND(31&lt;=wdPeriod, ISNUMBER(B100), B100&gt;0), monthlyWd*12*(1+inflation)^(31-1), "")</f>
        <v/>
      </c>
      <c r="D100" s="17">
        <f>IF(AND(31&lt;=wdPeriod, ISNUMBER(B100), B100&gt;0), (B100-C100/2)*annualRate, "")</f>
        <v/>
      </c>
      <c r="E100" s="17">
        <f>IF(AND(31&lt;=wdPeriod, ISNUMBER(B100), B100&gt;0), B100-C100+D100, "")</f>
        <v/>
      </c>
      <c r="F100" s="16">
        <f>IF(AND(31&lt;=wdPeriod, ISNUMBER(B100), B100&gt;0), 1, 0)</f>
        <v/>
      </c>
    </row>
    <row r="101">
      <c r="A101" s="18">
        <f>IF(AND(32&lt;=wdPeriod, ISNUMBER(B101), B101&gt;0), sipPeriod+32, "")</f>
        <v/>
      </c>
      <c r="B101" s="19">
        <f>IF(AND(32&lt;=wdPeriod, ISNUMBER(E100), E100&gt;0), E100, "")</f>
        <v/>
      </c>
      <c r="C101" s="19">
        <f>IF(AND(32&lt;=wdPeriod, ISNUMBER(B101), B101&gt;0), monthlyWd*12*(1+inflation)^(32-1), "")</f>
        <v/>
      </c>
      <c r="D101" s="19">
        <f>IF(AND(32&lt;=wdPeriod, ISNUMBER(B101), B101&gt;0), (B101-C101/2)*annualRate, "")</f>
        <v/>
      </c>
      <c r="E101" s="19">
        <f>IF(AND(32&lt;=wdPeriod, ISNUMBER(B101), B101&gt;0), B101-C101+D101, "")</f>
        <v/>
      </c>
      <c r="F101" s="18">
        <f>IF(AND(32&lt;=wdPeriod, ISNUMBER(B101), B101&gt;0), 1, 0)</f>
        <v/>
      </c>
    </row>
    <row r="102">
      <c r="A102" s="16">
        <f>IF(AND(33&lt;=wdPeriod, ISNUMBER(B102), B102&gt;0), sipPeriod+33, "")</f>
        <v/>
      </c>
      <c r="B102" s="17">
        <f>IF(AND(33&lt;=wdPeriod, ISNUMBER(E101), E101&gt;0), E101, "")</f>
        <v/>
      </c>
      <c r="C102" s="17">
        <f>IF(AND(33&lt;=wdPeriod, ISNUMBER(B102), B102&gt;0), monthlyWd*12*(1+inflation)^(33-1), "")</f>
        <v/>
      </c>
      <c r="D102" s="17">
        <f>IF(AND(33&lt;=wdPeriod, ISNUMBER(B102), B102&gt;0), (B102-C102/2)*annualRate, "")</f>
        <v/>
      </c>
      <c r="E102" s="17">
        <f>IF(AND(33&lt;=wdPeriod, ISNUMBER(B102), B102&gt;0), B102-C102+D102, "")</f>
        <v/>
      </c>
      <c r="F102" s="16">
        <f>IF(AND(33&lt;=wdPeriod, ISNUMBER(B102), B102&gt;0), 1, 0)</f>
        <v/>
      </c>
    </row>
    <row r="103">
      <c r="A103" s="18">
        <f>IF(AND(34&lt;=wdPeriod, ISNUMBER(B103), B103&gt;0), sipPeriod+34, "")</f>
        <v/>
      </c>
      <c r="B103" s="19">
        <f>IF(AND(34&lt;=wdPeriod, ISNUMBER(E102), E102&gt;0), E102, "")</f>
        <v/>
      </c>
      <c r="C103" s="19">
        <f>IF(AND(34&lt;=wdPeriod, ISNUMBER(B103), B103&gt;0), monthlyWd*12*(1+inflation)^(34-1), "")</f>
        <v/>
      </c>
      <c r="D103" s="19">
        <f>IF(AND(34&lt;=wdPeriod, ISNUMBER(B103), B103&gt;0), (B103-C103/2)*annualRate, "")</f>
        <v/>
      </c>
      <c r="E103" s="19">
        <f>IF(AND(34&lt;=wdPeriod, ISNUMBER(B103), B103&gt;0), B103-C103+D103, "")</f>
        <v/>
      </c>
      <c r="F103" s="18">
        <f>IF(AND(34&lt;=wdPeriod, ISNUMBER(B103), B103&gt;0), 1, 0)</f>
        <v/>
      </c>
    </row>
    <row r="104">
      <c r="A104" s="16">
        <f>IF(AND(35&lt;=wdPeriod, ISNUMBER(B104), B104&gt;0), sipPeriod+35, "")</f>
        <v/>
      </c>
      <c r="B104" s="17">
        <f>IF(AND(35&lt;=wdPeriod, ISNUMBER(E103), E103&gt;0), E103, "")</f>
        <v/>
      </c>
      <c r="C104" s="17">
        <f>IF(AND(35&lt;=wdPeriod, ISNUMBER(B104), B104&gt;0), monthlyWd*12*(1+inflation)^(35-1), "")</f>
        <v/>
      </c>
      <c r="D104" s="17">
        <f>IF(AND(35&lt;=wdPeriod, ISNUMBER(B104), B104&gt;0), (B104-C104/2)*annualRate, "")</f>
        <v/>
      </c>
      <c r="E104" s="17">
        <f>IF(AND(35&lt;=wdPeriod, ISNUMBER(B104), B104&gt;0), B104-C104+D104, "")</f>
        <v/>
      </c>
      <c r="F104" s="16">
        <f>IF(AND(35&lt;=wdPeriod, ISNUMBER(B104), B104&gt;0), 1, 0)</f>
        <v/>
      </c>
    </row>
    <row r="105">
      <c r="A105" s="18">
        <f>IF(AND(36&lt;=wdPeriod, ISNUMBER(B105), B105&gt;0), sipPeriod+36, "")</f>
        <v/>
      </c>
      <c r="B105" s="19">
        <f>IF(AND(36&lt;=wdPeriod, ISNUMBER(E104), E104&gt;0), E104, "")</f>
        <v/>
      </c>
      <c r="C105" s="19">
        <f>IF(AND(36&lt;=wdPeriod, ISNUMBER(B105), B105&gt;0), monthlyWd*12*(1+inflation)^(36-1), "")</f>
        <v/>
      </c>
      <c r="D105" s="19">
        <f>IF(AND(36&lt;=wdPeriod, ISNUMBER(B105), B105&gt;0), (B105-C105/2)*annualRate, "")</f>
        <v/>
      </c>
      <c r="E105" s="19">
        <f>IF(AND(36&lt;=wdPeriod, ISNUMBER(B105), B105&gt;0), B105-C105+D105, "")</f>
        <v/>
      </c>
      <c r="F105" s="18">
        <f>IF(AND(36&lt;=wdPeriod, ISNUMBER(B105), B105&gt;0), 1, 0)</f>
        <v/>
      </c>
    </row>
    <row r="106">
      <c r="A106" s="16">
        <f>IF(AND(37&lt;=wdPeriod, ISNUMBER(B106), B106&gt;0), sipPeriod+37, "")</f>
        <v/>
      </c>
      <c r="B106" s="17">
        <f>IF(AND(37&lt;=wdPeriod, ISNUMBER(E105), E105&gt;0), E105, "")</f>
        <v/>
      </c>
      <c r="C106" s="17">
        <f>IF(AND(37&lt;=wdPeriod, ISNUMBER(B106), B106&gt;0), monthlyWd*12*(1+inflation)^(37-1), "")</f>
        <v/>
      </c>
      <c r="D106" s="17">
        <f>IF(AND(37&lt;=wdPeriod, ISNUMBER(B106), B106&gt;0), (B106-C106/2)*annualRate, "")</f>
        <v/>
      </c>
      <c r="E106" s="17">
        <f>IF(AND(37&lt;=wdPeriod, ISNUMBER(B106), B106&gt;0), B106-C106+D106, "")</f>
        <v/>
      </c>
      <c r="F106" s="16">
        <f>IF(AND(37&lt;=wdPeriod, ISNUMBER(B106), B106&gt;0), 1, 0)</f>
        <v/>
      </c>
    </row>
    <row r="107">
      <c r="A107" s="18">
        <f>IF(AND(38&lt;=wdPeriod, ISNUMBER(B107), B107&gt;0), sipPeriod+38, "")</f>
        <v/>
      </c>
      <c r="B107" s="19">
        <f>IF(AND(38&lt;=wdPeriod, ISNUMBER(E106), E106&gt;0), E106, "")</f>
        <v/>
      </c>
      <c r="C107" s="19">
        <f>IF(AND(38&lt;=wdPeriod, ISNUMBER(B107), B107&gt;0), monthlyWd*12*(1+inflation)^(38-1), "")</f>
        <v/>
      </c>
      <c r="D107" s="19">
        <f>IF(AND(38&lt;=wdPeriod, ISNUMBER(B107), B107&gt;0), (B107-C107/2)*annualRate, "")</f>
        <v/>
      </c>
      <c r="E107" s="19">
        <f>IF(AND(38&lt;=wdPeriod, ISNUMBER(B107), B107&gt;0), B107-C107+D107, "")</f>
        <v/>
      </c>
      <c r="F107" s="18">
        <f>IF(AND(38&lt;=wdPeriod, ISNUMBER(B107), B107&gt;0), 1, 0)</f>
        <v/>
      </c>
    </row>
    <row r="108">
      <c r="A108" s="16">
        <f>IF(AND(39&lt;=wdPeriod, ISNUMBER(B108), B108&gt;0), sipPeriod+39, "")</f>
        <v/>
      </c>
      <c r="B108" s="17">
        <f>IF(AND(39&lt;=wdPeriod, ISNUMBER(E107), E107&gt;0), E107, "")</f>
        <v/>
      </c>
      <c r="C108" s="17">
        <f>IF(AND(39&lt;=wdPeriod, ISNUMBER(B108), B108&gt;0), monthlyWd*12*(1+inflation)^(39-1), "")</f>
        <v/>
      </c>
      <c r="D108" s="17">
        <f>IF(AND(39&lt;=wdPeriod, ISNUMBER(B108), B108&gt;0), (B108-C108/2)*annualRate, "")</f>
        <v/>
      </c>
      <c r="E108" s="17">
        <f>IF(AND(39&lt;=wdPeriod, ISNUMBER(B108), B108&gt;0), B108-C108+D108, "")</f>
        <v/>
      </c>
      <c r="F108" s="16">
        <f>IF(AND(39&lt;=wdPeriod, ISNUMBER(B108), B108&gt;0), 1, 0)</f>
        <v/>
      </c>
    </row>
    <row r="109">
      <c r="A109" s="18">
        <f>IF(AND(40&lt;=wdPeriod, ISNUMBER(B109), B109&gt;0), sipPeriod+40, "")</f>
        <v/>
      </c>
      <c r="B109" s="19">
        <f>IF(AND(40&lt;=wdPeriod, ISNUMBER(E108), E108&gt;0), E108, "")</f>
        <v/>
      </c>
      <c r="C109" s="19">
        <f>IF(AND(40&lt;=wdPeriod, ISNUMBER(B109), B109&gt;0), monthlyWd*12*(1+inflation)^(40-1), "")</f>
        <v/>
      </c>
      <c r="D109" s="19">
        <f>IF(AND(40&lt;=wdPeriod, ISNUMBER(B109), B109&gt;0), (B109-C109/2)*annualRate, "")</f>
        <v/>
      </c>
      <c r="E109" s="19">
        <f>IF(AND(40&lt;=wdPeriod, ISNUMBER(B109), B109&gt;0), B109-C109+D109, "")</f>
        <v/>
      </c>
      <c r="F109" s="18">
        <f>IF(AND(40&lt;=wdPeriod, ISNUMBER(B109), B109&gt;0), 1, 0)</f>
        <v/>
      </c>
    </row>
    <row r="110">
      <c r="A110" s="16">
        <f>IF(AND(41&lt;=wdPeriod, ISNUMBER(B110), B110&gt;0), sipPeriod+41, "")</f>
        <v/>
      </c>
      <c r="B110" s="17">
        <f>IF(AND(41&lt;=wdPeriod, ISNUMBER(E109), E109&gt;0), E109, "")</f>
        <v/>
      </c>
      <c r="C110" s="17">
        <f>IF(AND(41&lt;=wdPeriod, ISNUMBER(B110), B110&gt;0), monthlyWd*12*(1+inflation)^(41-1), "")</f>
        <v/>
      </c>
      <c r="D110" s="17">
        <f>IF(AND(41&lt;=wdPeriod, ISNUMBER(B110), B110&gt;0), (B110-C110/2)*annualRate, "")</f>
        <v/>
      </c>
      <c r="E110" s="17">
        <f>IF(AND(41&lt;=wdPeriod, ISNUMBER(B110), B110&gt;0), B110-C110+D110, "")</f>
        <v/>
      </c>
      <c r="F110" s="16">
        <f>IF(AND(41&lt;=wdPeriod, ISNUMBER(B110), B110&gt;0), 1, 0)</f>
        <v/>
      </c>
    </row>
    <row r="111">
      <c r="A111" s="18">
        <f>IF(AND(42&lt;=wdPeriod, ISNUMBER(B111), B111&gt;0), sipPeriod+42, "")</f>
        <v/>
      </c>
      <c r="B111" s="19">
        <f>IF(AND(42&lt;=wdPeriod, ISNUMBER(E110), E110&gt;0), E110, "")</f>
        <v/>
      </c>
      <c r="C111" s="19">
        <f>IF(AND(42&lt;=wdPeriod, ISNUMBER(B111), B111&gt;0), monthlyWd*12*(1+inflation)^(42-1), "")</f>
        <v/>
      </c>
      <c r="D111" s="19">
        <f>IF(AND(42&lt;=wdPeriod, ISNUMBER(B111), B111&gt;0), (B111-C111/2)*annualRate, "")</f>
        <v/>
      </c>
      <c r="E111" s="19">
        <f>IF(AND(42&lt;=wdPeriod, ISNUMBER(B111), B111&gt;0), B111-C111+D111, "")</f>
        <v/>
      </c>
      <c r="F111" s="18">
        <f>IF(AND(42&lt;=wdPeriod, ISNUMBER(B111), B111&gt;0), 1, 0)</f>
        <v/>
      </c>
    </row>
    <row r="112">
      <c r="A112" s="16">
        <f>IF(AND(43&lt;=wdPeriod, ISNUMBER(B112), B112&gt;0), sipPeriod+43, "")</f>
        <v/>
      </c>
      <c r="B112" s="17">
        <f>IF(AND(43&lt;=wdPeriod, ISNUMBER(E111), E111&gt;0), E111, "")</f>
        <v/>
      </c>
      <c r="C112" s="17">
        <f>IF(AND(43&lt;=wdPeriod, ISNUMBER(B112), B112&gt;0), monthlyWd*12*(1+inflation)^(43-1), "")</f>
        <v/>
      </c>
      <c r="D112" s="17">
        <f>IF(AND(43&lt;=wdPeriod, ISNUMBER(B112), B112&gt;0), (B112-C112/2)*annualRate, "")</f>
        <v/>
      </c>
      <c r="E112" s="17">
        <f>IF(AND(43&lt;=wdPeriod, ISNUMBER(B112), B112&gt;0), B112-C112+D112, "")</f>
        <v/>
      </c>
      <c r="F112" s="16">
        <f>IF(AND(43&lt;=wdPeriod, ISNUMBER(B112), B112&gt;0), 1, 0)</f>
        <v/>
      </c>
    </row>
    <row r="113">
      <c r="A113" s="18">
        <f>IF(AND(44&lt;=wdPeriod, ISNUMBER(B113), B113&gt;0), sipPeriod+44, "")</f>
        <v/>
      </c>
      <c r="B113" s="19">
        <f>IF(AND(44&lt;=wdPeriod, ISNUMBER(E112), E112&gt;0), E112, "")</f>
        <v/>
      </c>
      <c r="C113" s="19">
        <f>IF(AND(44&lt;=wdPeriod, ISNUMBER(B113), B113&gt;0), monthlyWd*12*(1+inflation)^(44-1), "")</f>
        <v/>
      </c>
      <c r="D113" s="19">
        <f>IF(AND(44&lt;=wdPeriod, ISNUMBER(B113), B113&gt;0), (B113-C113/2)*annualRate, "")</f>
        <v/>
      </c>
      <c r="E113" s="19">
        <f>IF(AND(44&lt;=wdPeriod, ISNUMBER(B113), B113&gt;0), B113-C113+D113, "")</f>
        <v/>
      </c>
      <c r="F113" s="18">
        <f>IF(AND(44&lt;=wdPeriod, ISNUMBER(B113), B113&gt;0), 1, 0)</f>
        <v/>
      </c>
    </row>
    <row r="114">
      <c r="A114" s="16">
        <f>IF(AND(45&lt;=wdPeriod, ISNUMBER(B114), B114&gt;0), sipPeriod+45, "")</f>
        <v/>
      </c>
      <c r="B114" s="17">
        <f>IF(AND(45&lt;=wdPeriod, ISNUMBER(E113), E113&gt;0), E113, "")</f>
        <v/>
      </c>
      <c r="C114" s="17">
        <f>IF(AND(45&lt;=wdPeriod, ISNUMBER(B114), B114&gt;0), monthlyWd*12*(1+inflation)^(45-1), "")</f>
        <v/>
      </c>
      <c r="D114" s="17">
        <f>IF(AND(45&lt;=wdPeriod, ISNUMBER(B114), B114&gt;0), (B114-C114/2)*annualRate, "")</f>
        <v/>
      </c>
      <c r="E114" s="17">
        <f>IF(AND(45&lt;=wdPeriod, ISNUMBER(B114), B114&gt;0), B114-C114+D114, "")</f>
        <v/>
      </c>
      <c r="F114" s="16">
        <f>IF(AND(45&lt;=wdPeriod, ISNUMBER(B114), B114&gt;0), 1, 0)</f>
        <v/>
      </c>
    </row>
    <row r="115">
      <c r="A115" s="18">
        <f>IF(AND(46&lt;=wdPeriod, ISNUMBER(B115), B115&gt;0), sipPeriod+46, "")</f>
        <v/>
      </c>
      <c r="B115" s="19">
        <f>IF(AND(46&lt;=wdPeriod, ISNUMBER(E114), E114&gt;0), E114, "")</f>
        <v/>
      </c>
      <c r="C115" s="19">
        <f>IF(AND(46&lt;=wdPeriod, ISNUMBER(B115), B115&gt;0), monthlyWd*12*(1+inflation)^(46-1), "")</f>
        <v/>
      </c>
      <c r="D115" s="19">
        <f>IF(AND(46&lt;=wdPeriod, ISNUMBER(B115), B115&gt;0), (B115-C115/2)*annualRate, "")</f>
        <v/>
      </c>
      <c r="E115" s="19">
        <f>IF(AND(46&lt;=wdPeriod, ISNUMBER(B115), B115&gt;0), B115-C115+D115, "")</f>
        <v/>
      </c>
      <c r="F115" s="18">
        <f>IF(AND(46&lt;=wdPeriod, ISNUMBER(B115), B115&gt;0), 1, 0)</f>
        <v/>
      </c>
    </row>
    <row r="116">
      <c r="A116" s="16">
        <f>IF(AND(47&lt;=wdPeriod, ISNUMBER(B116), B116&gt;0), sipPeriod+47, "")</f>
        <v/>
      </c>
      <c r="B116" s="17">
        <f>IF(AND(47&lt;=wdPeriod, ISNUMBER(E115), E115&gt;0), E115, "")</f>
        <v/>
      </c>
      <c r="C116" s="17">
        <f>IF(AND(47&lt;=wdPeriod, ISNUMBER(B116), B116&gt;0), monthlyWd*12*(1+inflation)^(47-1), "")</f>
        <v/>
      </c>
      <c r="D116" s="17">
        <f>IF(AND(47&lt;=wdPeriod, ISNUMBER(B116), B116&gt;0), (B116-C116/2)*annualRate, "")</f>
        <v/>
      </c>
      <c r="E116" s="17">
        <f>IF(AND(47&lt;=wdPeriod, ISNUMBER(B116), B116&gt;0), B116-C116+D116, "")</f>
        <v/>
      </c>
      <c r="F116" s="16">
        <f>IF(AND(47&lt;=wdPeriod, ISNUMBER(B116), B116&gt;0), 1, 0)</f>
        <v/>
      </c>
    </row>
    <row r="117">
      <c r="A117" s="18">
        <f>IF(AND(48&lt;=wdPeriod, ISNUMBER(B117), B117&gt;0), sipPeriod+48, "")</f>
        <v/>
      </c>
      <c r="B117" s="19">
        <f>IF(AND(48&lt;=wdPeriod, ISNUMBER(E116), E116&gt;0), E116, "")</f>
        <v/>
      </c>
      <c r="C117" s="19">
        <f>IF(AND(48&lt;=wdPeriod, ISNUMBER(B117), B117&gt;0), monthlyWd*12*(1+inflation)^(48-1), "")</f>
        <v/>
      </c>
      <c r="D117" s="19">
        <f>IF(AND(48&lt;=wdPeriod, ISNUMBER(B117), B117&gt;0), (B117-C117/2)*annualRate, "")</f>
        <v/>
      </c>
      <c r="E117" s="19">
        <f>IF(AND(48&lt;=wdPeriod, ISNUMBER(B117), B117&gt;0), B117-C117+D117, "")</f>
        <v/>
      </c>
      <c r="F117" s="18">
        <f>IF(AND(48&lt;=wdPeriod, ISNUMBER(B117), B117&gt;0), 1, 0)</f>
        <v/>
      </c>
    </row>
    <row r="118">
      <c r="A118" s="16">
        <f>IF(AND(49&lt;=wdPeriod, ISNUMBER(B118), B118&gt;0), sipPeriod+49, "")</f>
        <v/>
      </c>
      <c r="B118" s="17">
        <f>IF(AND(49&lt;=wdPeriod, ISNUMBER(E117), E117&gt;0), E117, "")</f>
        <v/>
      </c>
      <c r="C118" s="17">
        <f>IF(AND(49&lt;=wdPeriod, ISNUMBER(B118), B118&gt;0), monthlyWd*12*(1+inflation)^(49-1), "")</f>
        <v/>
      </c>
      <c r="D118" s="17">
        <f>IF(AND(49&lt;=wdPeriod, ISNUMBER(B118), B118&gt;0), (B118-C118/2)*annualRate, "")</f>
        <v/>
      </c>
      <c r="E118" s="17">
        <f>IF(AND(49&lt;=wdPeriod, ISNUMBER(B118), B118&gt;0), B118-C118+D118, "")</f>
        <v/>
      </c>
      <c r="F118" s="16">
        <f>IF(AND(49&lt;=wdPeriod, ISNUMBER(B118), B118&gt;0), 1, 0)</f>
        <v/>
      </c>
    </row>
    <row r="119">
      <c r="A119" s="18">
        <f>IF(AND(50&lt;=wdPeriod, ISNUMBER(B119), B119&gt;0), sipPeriod+50, "")</f>
        <v/>
      </c>
      <c r="B119" s="19">
        <f>IF(AND(50&lt;=wdPeriod, ISNUMBER(E118), E118&gt;0), E118, "")</f>
        <v/>
      </c>
      <c r="C119" s="19">
        <f>IF(AND(50&lt;=wdPeriod, ISNUMBER(B119), B119&gt;0), monthlyWd*12*(1+inflation)^(50-1), "")</f>
        <v/>
      </c>
      <c r="D119" s="19">
        <f>IF(AND(50&lt;=wdPeriod, ISNUMBER(B119), B119&gt;0), (B119-C119/2)*annualRate, "")</f>
        <v/>
      </c>
      <c r="E119" s="19">
        <f>IF(AND(50&lt;=wdPeriod, ISNUMBER(B119), B119&gt;0), B119-C119+D119, "")</f>
        <v/>
      </c>
      <c r="F119" s="18">
        <f>IF(AND(50&lt;=wdPeriod, ISNUMBER(B119), B119&gt;0), 1, 0)</f>
        <v/>
      </c>
    </row>
    <row r="120">
      <c r="A120" s="16">
        <f>IF(AND(51&lt;=wdPeriod, ISNUMBER(B120), B120&gt;0), sipPeriod+51, "")</f>
        <v/>
      </c>
      <c r="B120" s="17">
        <f>IF(AND(51&lt;=wdPeriod, ISNUMBER(E119), E119&gt;0), E119, "")</f>
        <v/>
      </c>
      <c r="C120" s="17">
        <f>IF(AND(51&lt;=wdPeriod, ISNUMBER(B120), B120&gt;0), monthlyWd*12*(1+inflation)^(51-1), "")</f>
        <v/>
      </c>
      <c r="D120" s="17">
        <f>IF(AND(51&lt;=wdPeriod, ISNUMBER(B120), B120&gt;0), (B120-C120/2)*annualRate, "")</f>
        <v/>
      </c>
      <c r="E120" s="17">
        <f>IF(AND(51&lt;=wdPeriod, ISNUMBER(B120), B120&gt;0), B120-C120+D120, "")</f>
        <v/>
      </c>
      <c r="F120" s="16">
        <f>IF(AND(51&lt;=wdPeriod, ISNUMBER(B120), B120&gt;0), 1, 0)</f>
        <v/>
      </c>
    </row>
    <row r="121">
      <c r="A121" s="18">
        <f>IF(AND(52&lt;=wdPeriod, ISNUMBER(B121), B121&gt;0), sipPeriod+52, "")</f>
        <v/>
      </c>
      <c r="B121" s="19">
        <f>IF(AND(52&lt;=wdPeriod, ISNUMBER(E120), E120&gt;0), E120, "")</f>
        <v/>
      </c>
      <c r="C121" s="19">
        <f>IF(AND(52&lt;=wdPeriod, ISNUMBER(B121), B121&gt;0), monthlyWd*12*(1+inflation)^(52-1), "")</f>
        <v/>
      </c>
      <c r="D121" s="19">
        <f>IF(AND(52&lt;=wdPeriod, ISNUMBER(B121), B121&gt;0), (B121-C121/2)*annualRate, "")</f>
        <v/>
      </c>
      <c r="E121" s="19">
        <f>IF(AND(52&lt;=wdPeriod, ISNUMBER(B121), B121&gt;0), B121-C121+D121, "")</f>
        <v/>
      </c>
      <c r="F121" s="18">
        <f>IF(AND(52&lt;=wdPeriod, ISNUMBER(B121), B121&gt;0), 1, 0)</f>
        <v/>
      </c>
    </row>
    <row r="122">
      <c r="A122" s="16">
        <f>IF(AND(53&lt;=wdPeriod, ISNUMBER(B122), B122&gt;0), sipPeriod+53, "")</f>
        <v/>
      </c>
      <c r="B122" s="17">
        <f>IF(AND(53&lt;=wdPeriod, ISNUMBER(E121), E121&gt;0), E121, "")</f>
        <v/>
      </c>
      <c r="C122" s="17">
        <f>IF(AND(53&lt;=wdPeriod, ISNUMBER(B122), B122&gt;0), monthlyWd*12*(1+inflation)^(53-1), "")</f>
        <v/>
      </c>
      <c r="D122" s="17">
        <f>IF(AND(53&lt;=wdPeriod, ISNUMBER(B122), B122&gt;0), (B122-C122/2)*annualRate, "")</f>
        <v/>
      </c>
      <c r="E122" s="17">
        <f>IF(AND(53&lt;=wdPeriod, ISNUMBER(B122), B122&gt;0), B122-C122+D122, "")</f>
        <v/>
      </c>
      <c r="F122" s="16">
        <f>IF(AND(53&lt;=wdPeriod, ISNUMBER(B122), B122&gt;0), 1, 0)</f>
        <v/>
      </c>
    </row>
    <row r="123">
      <c r="A123" s="18">
        <f>IF(AND(54&lt;=wdPeriod, ISNUMBER(B123), B123&gt;0), sipPeriod+54, "")</f>
        <v/>
      </c>
      <c r="B123" s="19">
        <f>IF(AND(54&lt;=wdPeriod, ISNUMBER(E122), E122&gt;0), E122, "")</f>
        <v/>
      </c>
      <c r="C123" s="19">
        <f>IF(AND(54&lt;=wdPeriod, ISNUMBER(B123), B123&gt;0), monthlyWd*12*(1+inflation)^(54-1), "")</f>
        <v/>
      </c>
      <c r="D123" s="19">
        <f>IF(AND(54&lt;=wdPeriod, ISNUMBER(B123), B123&gt;0), (B123-C123/2)*annualRate, "")</f>
        <v/>
      </c>
      <c r="E123" s="19">
        <f>IF(AND(54&lt;=wdPeriod, ISNUMBER(B123), B123&gt;0), B123-C123+D123, "")</f>
        <v/>
      </c>
      <c r="F123" s="18">
        <f>IF(AND(54&lt;=wdPeriod, ISNUMBER(B123), B123&gt;0), 1, 0)</f>
        <v/>
      </c>
    </row>
    <row r="124">
      <c r="A124" s="16">
        <f>IF(AND(55&lt;=wdPeriod, ISNUMBER(B124), B124&gt;0), sipPeriod+55, "")</f>
        <v/>
      </c>
      <c r="B124" s="17">
        <f>IF(AND(55&lt;=wdPeriod, ISNUMBER(E123), E123&gt;0), E123, "")</f>
        <v/>
      </c>
      <c r="C124" s="17">
        <f>IF(AND(55&lt;=wdPeriod, ISNUMBER(B124), B124&gt;0), monthlyWd*12*(1+inflation)^(55-1), "")</f>
        <v/>
      </c>
      <c r="D124" s="17">
        <f>IF(AND(55&lt;=wdPeriod, ISNUMBER(B124), B124&gt;0), (B124-C124/2)*annualRate, "")</f>
        <v/>
      </c>
      <c r="E124" s="17">
        <f>IF(AND(55&lt;=wdPeriod, ISNUMBER(B124), B124&gt;0), B124-C124+D124, "")</f>
        <v/>
      </c>
      <c r="F124" s="16">
        <f>IF(AND(55&lt;=wdPeriod, ISNUMBER(B124), B124&gt;0), 1, 0)</f>
        <v/>
      </c>
    </row>
    <row r="125">
      <c r="A125" s="18">
        <f>IF(AND(56&lt;=wdPeriod, ISNUMBER(B125), B125&gt;0), sipPeriod+56, "")</f>
        <v/>
      </c>
      <c r="B125" s="19">
        <f>IF(AND(56&lt;=wdPeriod, ISNUMBER(E124), E124&gt;0), E124, "")</f>
        <v/>
      </c>
      <c r="C125" s="19">
        <f>IF(AND(56&lt;=wdPeriod, ISNUMBER(B125), B125&gt;0), monthlyWd*12*(1+inflation)^(56-1), "")</f>
        <v/>
      </c>
      <c r="D125" s="19">
        <f>IF(AND(56&lt;=wdPeriod, ISNUMBER(B125), B125&gt;0), (B125-C125/2)*annualRate, "")</f>
        <v/>
      </c>
      <c r="E125" s="19">
        <f>IF(AND(56&lt;=wdPeriod, ISNUMBER(B125), B125&gt;0), B125-C125+D125, "")</f>
        <v/>
      </c>
      <c r="F125" s="18">
        <f>IF(AND(56&lt;=wdPeriod, ISNUMBER(B125), B125&gt;0), 1, 0)</f>
        <v/>
      </c>
    </row>
    <row r="126">
      <c r="A126" s="16">
        <f>IF(AND(57&lt;=wdPeriod, ISNUMBER(B126), B126&gt;0), sipPeriod+57, "")</f>
        <v/>
      </c>
      <c r="B126" s="17">
        <f>IF(AND(57&lt;=wdPeriod, ISNUMBER(E125), E125&gt;0), E125, "")</f>
        <v/>
      </c>
      <c r="C126" s="17">
        <f>IF(AND(57&lt;=wdPeriod, ISNUMBER(B126), B126&gt;0), monthlyWd*12*(1+inflation)^(57-1), "")</f>
        <v/>
      </c>
      <c r="D126" s="17">
        <f>IF(AND(57&lt;=wdPeriod, ISNUMBER(B126), B126&gt;0), (B126-C126/2)*annualRate, "")</f>
        <v/>
      </c>
      <c r="E126" s="17">
        <f>IF(AND(57&lt;=wdPeriod, ISNUMBER(B126), B126&gt;0), B126-C126+D126, "")</f>
        <v/>
      </c>
      <c r="F126" s="16">
        <f>IF(AND(57&lt;=wdPeriod, ISNUMBER(B126), B126&gt;0), 1, 0)</f>
        <v/>
      </c>
    </row>
    <row r="127">
      <c r="A127" s="18">
        <f>IF(AND(58&lt;=wdPeriod, ISNUMBER(B127), B127&gt;0), sipPeriod+58, "")</f>
        <v/>
      </c>
      <c r="B127" s="19">
        <f>IF(AND(58&lt;=wdPeriod, ISNUMBER(E126), E126&gt;0), E126, "")</f>
        <v/>
      </c>
      <c r="C127" s="19">
        <f>IF(AND(58&lt;=wdPeriod, ISNUMBER(B127), B127&gt;0), monthlyWd*12*(1+inflation)^(58-1), "")</f>
        <v/>
      </c>
      <c r="D127" s="19">
        <f>IF(AND(58&lt;=wdPeriod, ISNUMBER(B127), B127&gt;0), (B127-C127/2)*annualRate, "")</f>
        <v/>
      </c>
      <c r="E127" s="19">
        <f>IF(AND(58&lt;=wdPeriod, ISNUMBER(B127), B127&gt;0), B127-C127+D127, "")</f>
        <v/>
      </c>
      <c r="F127" s="18">
        <f>IF(AND(58&lt;=wdPeriod, ISNUMBER(B127), B127&gt;0), 1, 0)</f>
        <v/>
      </c>
    </row>
    <row r="128">
      <c r="A128" s="16">
        <f>IF(AND(59&lt;=wdPeriod, ISNUMBER(B128), B128&gt;0), sipPeriod+59, "")</f>
        <v/>
      </c>
      <c r="B128" s="17">
        <f>IF(AND(59&lt;=wdPeriod, ISNUMBER(E127), E127&gt;0), E127, "")</f>
        <v/>
      </c>
      <c r="C128" s="17">
        <f>IF(AND(59&lt;=wdPeriod, ISNUMBER(B128), B128&gt;0), monthlyWd*12*(1+inflation)^(59-1), "")</f>
        <v/>
      </c>
      <c r="D128" s="17">
        <f>IF(AND(59&lt;=wdPeriod, ISNUMBER(B128), B128&gt;0), (B128-C128/2)*annualRate, "")</f>
        <v/>
      </c>
      <c r="E128" s="17">
        <f>IF(AND(59&lt;=wdPeriod, ISNUMBER(B128), B128&gt;0), B128-C128+D128, "")</f>
        <v/>
      </c>
      <c r="F128" s="16">
        <f>IF(AND(59&lt;=wdPeriod, ISNUMBER(B128), B128&gt;0), 1, 0)</f>
        <v/>
      </c>
    </row>
    <row r="129">
      <c r="A129" s="18">
        <f>IF(AND(60&lt;=wdPeriod, ISNUMBER(B129), B129&gt;0), sipPeriod+60, "")</f>
        <v/>
      </c>
      <c r="B129" s="19">
        <f>IF(AND(60&lt;=wdPeriod, ISNUMBER(E128), E128&gt;0), E128, "")</f>
        <v/>
      </c>
      <c r="C129" s="19">
        <f>IF(AND(60&lt;=wdPeriod, ISNUMBER(B129), B129&gt;0), monthlyWd*12*(1+inflation)^(60-1), "")</f>
        <v/>
      </c>
      <c r="D129" s="19">
        <f>IF(AND(60&lt;=wdPeriod, ISNUMBER(B129), B129&gt;0), (B129-C129/2)*annualRate, "")</f>
        <v/>
      </c>
      <c r="E129" s="19">
        <f>IF(AND(60&lt;=wdPeriod, ISNUMBER(B129), B129&gt;0), B129-C129+D129, "")</f>
        <v/>
      </c>
      <c r="F129" s="18">
        <f>IF(AND(60&lt;=wdPeriod, ISNUMBER(B129), B129&gt;0), 1, 0)</f>
        <v/>
      </c>
    </row>
    <row r="154">
      <c r="A154" s="3" t="inlineStr">
        <is>
          <t>KEY ASSUMPTIONS &amp; METHODOLOGY</t>
        </is>
      </c>
    </row>
    <row r="155" ht="36" customHeight="1">
      <c r="A155" s="20" t="inlineStr">
        <is>
          <t>• Accumulation: Year N annual investment = monthlySIP × 12 × (1+stepUp)^(N−1). Year-end FV computed via Excel FV() with monthly compounding on 12 monthly payments. Interest = (FV − annual investment) + (opening × effective annual rate). Closing = opening + investment + interest.</t>
        </is>
      </c>
    </row>
    <row r="156" ht="36" customHeight="1">
      <c r="A156" s="20" t="inlineStr">
        <is>
          <t>• Decumulation: Year N annual withdrawal = monthlyWd × 12 × (1+inflation)^(N−1). Mid-year interest approx: interest = (opening − annual_wd / 2) × annualRate. Closing = opening − annual_wd + interest. Stops when opening ≤ 0.</t>
        </is>
      </c>
    </row>
    <row r="157" ht="36" customHeight="1">
      <c r="A157" s="20" t="inlineStr">
        <is>
          <t>• Same annual rate is used for both phases. To model post-retirement de-risking, lower the annualRate manually for a scenario.</t>
        </is>
      </c>
    </row>
    <row r="158" ht="36" customHeight="1">
      <c r="A158" s="20" t="inlineStr">
        <is>
          <t>• Years sustained = COUNT of years where opening corpus &gt; 0. Pass condition = Years sustained ≥ Withdrawal Period (your target).</t>
        </is>
      </c>
    </row>
    <row r="159" ht="36" customHeight="1">
      <c r="A159" s="20" t="inlineStr">
        <is>
          <t>• What is NOT modelled: personal income tax on withdrawals, fund expense ratio drag, sequence-of-returns risk, lifestyle-creep mid-decumulation, medical inflation spikes.</t>
        </is>
      </c>
    </row>
    <row r="160" ht="36" customHeight="1">
      <c r="A160" s="20" t="inlineStr">
        <is>
          <t>• Original web calc: https://tools.glosomewealthx.in/calculators/Inflation%20Shield%20SIP.html</t>
        </is>
      </c>
    </row>
  </sheetData>
  <mergeCells count="14">
    <mergeCell ref="A2:F2"/>
    <mergeCell ref="J4:K4"/>
    <mergeCell ref="A160:F160"/>
    <mergeCell ref="A68:F68"/>
    <mergeCell ref="A4:D4"/>
    <mergeCell ref="A1:F1"/>
    <mergeCell ref="A155:F155"/>
    <mergeCell ref="A158:F158"/>
    <mergeCell ref="A159:F159"/>
    <mergeCell ref="A157:F157"/>
    <mergeCell ref="A154:F154"/>
    <mergeCell ref="M4:N4"/>
    <mergeCell ref="A15:F15"/>
    <mergeCell ref="A156:F15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2026-05-29T09:41:59Z</dcterms:created>
  <dcterms:modified xmlns:dcterms="http://purl.org/dc/terms/" xmlns:xsi="http://www.w3.org/2001/XMLSchema-instance" xsi:type="dcterms:W3CDTF">2026-05-29T09:41:59Z</dcterms:modified>
</cp:coreProperties>
</file>